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240" yWindow="105" windowWidth="14805" windowHeight="8010"/>
  </bookViews>
  <sheets>
    <sheet name="Смета № 1" sheetId="2" r:id="rId1"/>
    <sheet name="Смета № 2" sheetId="3" r:id="rId2"/>
    <sheet name="Доп. данные для расчета См.№2  " sheetId="4" r:id="rId3"/>
    <sheet name="Исходные данные" sheetId="5" r:id="rId4"/>
    <sheet name="Пояснительная записка" sheetId="8" r:id="rId5"/>
  </sheets>
  <externalReferences>
    <externalReference r:id="rId6"/>
  </externalReferences>
  <definedNames>
    <definedName name="_xlnm.Print_Area" localSheetId="0">'Смета № 1'!$A$1:$G$53</definedName>
  </definedNames>
  <calcPr calcId="152511" fullPrecision="0"/>
</workbook>
</file>

<file path=xl/calcChain.xml><?xml version="1.0" encoding="utf-8"?>
<calcChain xmlns="http://schemas.openxmlformats.org/spreadsheetml/2006/main">
  <c r="E17" i="4" l="1"/>
  <c r="G17" i="4" s="1"/>
  <c r="I11" i="4"/>
  <c r="G11" i="4"/>
  <c r="E5" i="4"/>
  <c r="G5" i="4" s="1"/>
  <c r="E4" i="4"/>
  <c r="G4" i="4" s="1"/>
  <c r="H37" i="3"/>
  <c r="F31" i="3"/>
  <c r="E31" i="3"/>
  <c r="G31" i="3" s="1"/>
  <c r="J30" i="3"/>
  <c r="F30" i="3"/>
  <c r="G30" i="3" s="1"/>
  <c r="E30" i="3"/>
  <c r="K24" i="3"/>
  <c r="H17" i="3" s="1"/>
  <c r="G24" i="3"/>
  <c r="H23" i="3"/>
  <c r="F23" i="3"/>
  <c r="I37" i="3" s="1"/>
  <c r="F22" i="3"/>
  <c r="F21" i="3"/>
  <c r="J31" i="3" s="1"/>
  <c r="F19" i="3"/>
  <c r="F18" i="3"/>
  <c r="F17" i="3"/>
  <c r="F16" i="3"/>
  <c r="F15" i="3"/>
  <c r="F24" i="3" s="1"/>
  <c r="I21" i="3" l="1"/>
  <c r="I16" i="3"/>
  <c r="I17" i="3"/>
  <c r="I22" i="3"/>
  <c r="H30" i="3"/>
  <c r="I30" i="3" s="1"/>
  <c r="K30" i="3" s="1"/>
  <c r="F37" i="3" s="1"/>
  <c r="H31" i="3"/>
  <c r="I31" i="3" s="1"/>
  <c r="K31" i="3" s="1"/>
  <c r="I18" i="3"/>
  <c r="E37" i="3"/>
  <c r="I15" i="3"/>
  <c r="I23" i="3"/>
  <c r="G37" i="3"/>
  <c r="F20" i="3"/>
  <c r="I20" i="3" s="1"/>
  <c r="H19" i="3"/>
  <c r="I19" i="3" s="1"/>
  <c r="I24" i="3" l="1"/>
  <c r="J24" i="3" s="1"/>
  <c r="C37" i="3" s="1"/>
  <c r="D37" i="3"/>
  <c r="J37" i="3" s="1"/>
  <c r="K37" i="3" s="1"/>
  <c r="G13" i="2" l="1"/>
  <c r="G19" i="2" l="1"/>
  <c r="D37" i="2" s="1"/>
  <c r="F13" i="2"/>
  <c r="F19" i="2" l="1"/>
  <c r="G25" i="2"/>
  <c r="F25" i="2"/>
  <c r="F35" i="2" l="1"/>
  <c r="G35" i="2"/>
  <c r="G31" i="2" l="1"/>
  <c r="D36" i="2" s="1"/>
  <c r="F31" i="2" l="1"/>
  <c r="D41" i="2" l="1"/>
  <c r="F40" i="2" l="1"/>
  <c r="G40" i="2"/>
  <c r="D46" i="2" l="1"/>
  <c r="F45" i="2" s="1"/>
  <c r="G45" i="2" l="1"/>
  <c r="G50" i="2" s="1"/>
  <c r="G51" i="2" s="1"/>
</calcChain>
</file>

<file path=xl/sharedStrings.xml><?xml version="1.0" encoding="utf-8"?>
<sst xmlns="http://schemas.openxmlformats.org/spreadsheetml/2006/main" count="182" uniqueCount="147">
  <si>
    <t xml:space="preserve">(наименование объекта капитального строительства)
</t>
  </si>
  <si>
    <t>№ п.п.</t>
  </si>
  <si>
    <t>Обоснование</t>
  </si>
  <si>
    <t>Расчет стоимости</t>
  </si>
  <si>
    <t>БЦ =</t>
  </si>
  <si>
    <t>руб.</t>
  </si>
  <si>
    <t>V =</t>
  </si>
  <si>
    <t>К =</t>
  </si>
  <si>
    <t>м</t>
  </si>
  <si>
    <t>С =</t>
  </si>
  <si>
    <t>условный</t>
  </si>
  <si>
    <t xml:space="preserve">Справочник базовых цен «Инженерно-геологические и инженерно-экологические изыскания для строительства. 1999 г.»
Таблица 18, п.1
</t>
  </si>
  <si>
    <t>Гидрогеологические наблюдения при бурении скважины диаметром до 160 мм, глубиной св. 25 до 50 м</t>
  </si>
  <si>
    <t>испытаний</t>
  </si>
  <si>
    <t xml:space="preserve">Справочник базовых цен «Инженерно-геологические и инженерно-экологические изыскания для строительства. 1999 г.»
Таблица 4, пункт 5
</t>
  </si>
  <si>
    <t>Справочник базовых цен «Инженерно-геологические и инженерно-экологические изыскания для строительства. 1999 г.»
Общие указания, пункт 13</t>
  </si>
  <si>
    <t>Справочник базовых цен «Инженерно-геологические и инженерно-экологические изыскания для строительства. 1999 г.»
Таблица 5, пункт 6</t>
  </si>
  <si>
    <t>сумма поз. 1-5 сметы, руб.</t>
  </si>
  <si>
    <t>Смета № 1</t>
  </si>
  <si>
    <t>на полевые работы по инженерно-геологическим изысканиям</t>
  </si>
  <si>
    <t>Проходка инженерно-геологических выработок установкой вращательного бурения колонковым способом диаметром до 89 мм с применением снарядов со съемными керноприемниками ССК с планово-высотной привязкой выработок</t>
  </si>
  <si>
    <t>Примечание 2 к таблице 45, свыше 20 м</t>
  </si>
  <si>
    <t>Расходы по внутреннему транспорту свыше 20 до 25 км при базовой стоимости полевых изыскательских работ свыше 50 тыс. руб.</t>
  </si>
  <si>
    <t>пункт 5 таблицы 5</t>
  </si>
  <si>
    <t>Р =</t>
  </si>
  <si>
    <t>I. Полевые работы</t>
  </si>
  <si>
    <t>Итого по разделу I:</t>
  </si>
  <si>
    <t>Итого по смете:</t>
  </si>
  <si>
    <t>Сметная стоимость 
в уровне цен, сложившемся 
на день составления сметной документации, рублей</t>
  </si>
  <si>
    <t>Наименование работ или затрат</t>
  </si>
  <si>
    <t>Справочник базовых цен «Инженерно-геологические и инженерно-экологические изыскания для строительства. 1999 г.»
Таблица 45, п. 5, примечание 2</t>
  </si>
  <si>
    <t>*) Приложение № 4 к письму Минстроя России от 29.07.2024 № 43022-ИФ/09 </t>
  </si>
  <si>
    <t xml:space="preserve">Справочник базовых цен «Инженерно-геологические и инженерно-экологические изыскания для строительства. 1999 г.»
Таблица 93, п.1
</t>
  </si>
  <si>
    <t>точка</t>
  </si>
  <si>
    <t>примечание 1 к табл. 93, стоимость предварительной разбивки</t>
  </si>
  <si>
    <t>Плановая и высотная привязка (точек статического зондирования) при расстоянии
между точками до 350 м. Категория сложности II.</t>
  </si>
  <si>
    <t>сумма поз. 1-6 сметы, руб.</t>
  </si>
  <si>
    <t>таблица 4, пункт 5, гр. "св.50"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</si>
  <si>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</si>
  <si>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 в уровне цен по состоянию на 3 квартал 2024 г.</t>
  </si>
  <si>
    <t>Статическое зондирование грунтов непрерывным вдавливанием зонда со скоростью не свыше 1 м/мин, глубиной свыше 20 м</t>
  </si>
  <si>
    <r>
      <t>И</t>
    </r>
    <r>
      <rPr>
        <vertAlign val="subscript"/>
        <sz val="12"/>
        <rFont val="Times New Roman"/>
        <family val="1"/>
        <charset val="204"/>
      </rPr>
      <t>пер</t>
    </r>
    <r>
      <rPr>
        <sz val="12"/>
        <rFont val="Times New Roman"/>
        <family val="1"/>
        <charset val="204"/>
      </rPr>
      <t xml:space="preserve"> =</t>
    </r>
  </si>
  <si>
    <t xml:space="preserve">Смета № 2 на полевые работы, составляемая в соответствии с калькуляцией затрат </t>
  </si>
  <si>
    <t>руб.,  в уровне цен по состоянию на 01.01.2024</t>
  </si>
  <si>
    <t>сумма поз. 1-3 сметы в уровне цен по состоянию на 3 кв. 2024 г. для определения затрат на внутренний транспорт (позицией 4 Сметы № 1 затраты на внуренний транспорт учтены), рублей</t>
  </si>
  <si>
    <t>пункт 13 Общих указаний</t>
  </si>
  <si>
    <t>сумма поз. 1-4 сметы, приведенная к уровню цен по состоянию на 01.01.1991 для определения базовой стоимости работ при применении табл. 4, руб.</t>
  </si>
  <si>
    <t>Расходы по внешнему транспорту при растоянии до участка производства полевых работ свыше 1000 до 2000 км, продолжительностью производства полевых работ 6 месяцев</t>
  </si>
  <si>
    <t xml:space="preserve">Расходы по организации и ликвидации работ на объекте </t>
  </si>
  <si>
    <t>Пример определения стоимости полевых работ на инженерно-геологические изыскания</t>
  </si>
  <si>
    <t>индекс изменения сметной стоимости изыскательских работ на 3 кв. 2024 г. к уровню цен по состоянию на 01.01.1991
*) Письмо Минстроя России</t>
  </si>
  <si>
    <t>индекс изменения сметной стоимости изыскательских работ на 3 кв. 2024 г. к уровню цен по состоянию на 01.01.2024
*) Письмо Минстроя России</t>
  </si>
  <si>
    <t xml:space="preserve"> по проходке инженерно-геологических выработок установкой вращательного бурения колонковым способом диаметром до 89 мм с применением снарядов со съемными керноприемниками ССК с планово-высотной привязкой выработок</t>
  </si>
  <si>
    <t>(наименование вида инженерных изысканий)</t>
  </si>
  <si>
    <t>(наименование объекта капитального строительства)</t>
  </si>
  <si>
    <t xml:space="preserve">Составлена в уровне цен на 4 квартал 2023 г. </t>
  </si>
  <si>
    <t>Таблица 1</t>
  </si>
  <si>
    <t xml:space="preserve">№ </t>
  </si>
  <si>
    <t>Наименование квалификационных категорий должностей работников</t>
  </si>
  <si>
    <r>
      <t>Общая продолжительность времени работы каждого 
работника (Т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), 
общая продолжительность выполнения работы (Т</t>
    </r>
    <r>
      <rPr>
        <vertAlign val="subscript"/>
        <sz val="12"/>
        <color rgb="FF000000"/>
        <rFont val="Times New Roman"/>
        <family val="1"/>
        <charset val="204"/>
      </rPr>
      <t>Ообщ</t>
    </r>
    <r>
      <rPr>
        <sz val="12"/>
        <color rgb="FF000000"/>
        <rFont val="Times New Roman"/>
        <family val="1"/>
        <charset val="204"/>
      </rPr>
      <t>), часов</t>
    </r>
  </si>
  <si>
    <r>
      <t>Численность работников одинаковой 
квалификационной категории должности (Ч</t>
    </r>
    <r>
      <rPr>
        <vertAlign val="subscript"/>
        <sz val="12"/>
        <color rgb="FF000000"/>
        <rFont val="Times New Roman"/>
        <family val="1"/>
        <charset val="204"/>
      </rPr>
      <t>iо</t>
    </r>
    <r>
      <rPr>
        <sz val="12"/>
        <color rgb="FF000000"/>
        <rFont val="Times New Roman"/>
        <family val="1"/>
        <charset val="204"/>
      </rPr>
      <t>), 
численность работников общая (Ч</t>
    </r>
    <r>
      <rPr>
        <vertAlign val="subscript"/>
        <sz val="12"/>
        <color rgb="FF000000"/>
        <rFont val="Times New Roman"/>
        <family val="1"/>
        <charset val="204"/>
      </rPr>
      <t>общ</t>
    </r>
    <r>
      <rPr>
        <sz val="12"/>
        <color rgb="FF000000"/>
        <rFont val="Times New Roman"/>
        <family val="1"/>
        <charset val="204"/>
      </rPr>
      <t>), человек</t>
    </r>
  </si>
  <si>
    <r>
      <t>Тарифный коэффициент, 
соответствующий квалификационной 
категории 
должности каждого 
работника (ТК</t>
    </r>
    <r>
      <rPr>
        <vertAlign val="sub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)</t>
    </r>
  </si>
  <si>
    <r>
      <t>Коэффициент участия (К</t>
    </r>
    <r>
      <rPr>
        <vertAlign val="subscript"/>
        <sz val="12"/>
        <color rgb="FF000000"/>
        <rFont val="Times New Roman"/>
        <family val="1"/>
        <charset val="204"/>
      </rPr>
      <t>уч</t>
    </r>
    <r>
      <rPr>
        <sz val="12"/>
        <color rgb="FF000000"/>
        <rFont val="Times New Roman"/>
        <family val="1"/>
        <charset val="204"/>
      </rPr>
      <t xml:space="preserve">),
гр.3/∑гр.3 × гр.4 × гр.5
</t>
    </r>
  </si>
  <si>
    <r>
      <t>Усредненное значение 
коэффици-ента участия (К</t>
    </r>
    <r>
      <rPr>
        <vertAlign val="subscript"/>
        <sz val="12"/>
        <color rgb="FF000000"/>
        <rFont val="Times New Roman"/>
        <family val="1"/>
        <charset val="204"/>
      </rPr>
      <t>срО</t>
    </r>
    <r>
      <rPr>
        <sz val="12"/>
        <color rgb="FF000000"/>
        <rFont val="Times New Roman"/>
        <family val="1"/>
        <charset val="204"/>
      </rPr>
      <t xml:space="preserve">),
∑гр.6/∑гр.4
</t>
    </r>
  </si>
  <si>
    <r>
      <t>Часовая заработная плата ведущего инженера (З</t>
    </r>
    <r>
      <rPr>
        <vertAlign val="subscript"/>
        <sz val="12"/>
        <color rgb="FF000000"/>
        <rFont val="Times New Roman"/>
        <family val="1"/>
        <charset val="204"/>
      </rPr>
      <t>ч</t>
    </r>
    <r>
      <rPr>
        <sz val="12"/>
        <color rgb="FF000000"/>
        <rFont val="Times New Roman"/>
        <family val="1"/>
        <charset val="204"/>
      </rPr>
      <t>), рублей в час</t>
    </r>
  </si>
  <si>
    <t>Руководитель полевых работ (ведущий специалист)</t>
  </si>
  <si>
    <t>Специалист I категории (полевой геолог)</t>
  </si>
  <si>
    <t>Машинист буровой установки</t>
  </si>
  <si>
    <t>Помощник бурового мастера</t>
  </si>
  <si>
    <t>Машинист автоцистерны для воды</t>
  </si>
  <si>
    <t>Начальник сектора (внутренний контроль полевых работ)</t>
  </si>
  <si>
    <t>Топограф</t>
  </si>
  <si>
    <t>Техник</t>
  </si>
  <si>
    <t>Водитель автомобиля</t>
  </si>
  <si>
    <t>ИТОГО</t>
  </si>
  <si>
    <t>Таблица 2</t>
  </si>
  <si>
    <t>Наименование технических средств</t>
  </si>
  <si>
    <r>
      <t>Восстановительная стоимость технических средств для полевых работ (В</t>
    </r>
    <r>
      <rPr>
        <vertAlign val="subscript"/>
        <sz val="12"/>
        <color rgb="FF000000"/>
        <rFont val="Times New Roman"/>
        <family val="1"/>
        <charset val="204"/>
      </rPr>
      <t>Сфакт</t>
    </r>
    <r>
      <rPr>
        <sz val="12"/>
        <color rgb="FF000000"/>
        <rFont val="Times New Roman"/>
        <family val="1"/>
        <charset val="204"/>
      </rPr>
      <t>), рублей</t>
    </r>
  </si>
  <si>
    <r>
      <t>Срок использования технических средств 
для полевых работ (Н</t>
    </r>
    <r>
      <rPr>
        <vertAlign val="subscript"/>
        <sz val="12"/>
        <color rgb="FF000000"/>
        <rFont val="Times New Roman"/>
        <family val="1"/>
        <charset val="204"/>
      </rPr>
      <t>ТСфакт</t>
    </r>
    <r>
      <rPr>
        <sz val="12"/>
        <color rgb="FF000000"/>
        <rFont val="Times New Roman"/>
        <family val="1"/>
        <charset val="204"/>
      </rPr>
      <t>), в часах</t>
    </r>
  </si>
  <si>
    <r>
      <t>Амортизационные отчисления на полное восстановление технического средства (А</t>
    </r>
    <r>
      <rPr>
        <vertAlign val="subscript"/>
        <sz val="12"/>
        <color rgb="FF000000"/>
        <rFont val="Times New Roman"/>
        <family val="1"/>
        <charset val="204"/>
      </rPr>
      <t>ТС</t>
    </r>
    <r>
      <rPr>
        <sz val="12"/>
        <color rgb="FF000000"/>
        <rFont val="Times New Roman"/>
        <family val="1"/>
        <charset val="204"/>
      </rPr>
      <t>),
рублей в час</t>
    </r>
  </si>
  <si>
    <r>
      <t>Затраты 
на выполнение текущего и капитального ремонта, технического обслуживания 
и диагностирования технических средств для полевых работ (Р</t>
    </r>
    <r>
      <rPr>
        <vertAlign val="subscript"/>
        <sz val="12"/>
        <color rgb="FF000000"/>
        <rFont val="Times New Roman"/>
        <family val="1"/>
        <charset val="204"/>
      </rPr>
      <t>ТСфакт</t>
    </r>
    <r>
      <rPr>
        <sz val="12"/>
        <color rgb="FF000000"/>
        <rFont val="Times New Roman"/>
        <family val="1"/>
        <charset val="204"/>
      </rPr>
      <t>), рублей в час</t>
    </r>
  </si>
  <si>
    <r>
      <t>Цена 
на использование технических средств 
для полевых работ (Ц</t>
    </r>
    <r>
      <rPr>
        <vertAlign val="subscript"/>
        <sz val="12"/>
        <color rgb="FF000000"/>
        <rFont val="Times New Roman"/>
        <family val="1"/>
        <charset val="204"/>
      </rPr>
      <t>ТС</t>
    </r>
    <r>
      <rPr>
        <sz val="12"/>
        <color rgb="FF000000"/>
        <rFont val="Times New Roman"/>
        <family val="1"/>
        <charset val="204"/>
      </rPr>
      <t xml:space="preserve">), 
рублей в час </t>
    </r>
  </si>
  <si>
    <r>
      <t>Затраты времени на использование технических средств для полевых работ (И</t>
    </r>
    <r>
      <rPr>
        <vertAlign val="subscript"/>
        <sz val="12"/>
        <color rgb="FF000000"/>
        <rFont val="Times New Roman"/>
        <family val="1"/>
        <charset val="204"/>
      </rPr>
      <t>ТСфакт</t>
    </r>
    <r>
      <rPr>
        <sz val="12"/>
        <color rgb="FF000000"/>
        <rFont val="Times New Roman"/>
        <family val="1"/>
        <charset val="204"/>
      </rPr>
      <t>), 
часов</t>
    </r>
  </si>
  <si>
    <r>
      <t>Фактическая стоимость использования технических средств для полевых работ, применяемых при выполнении оцениваемой работы (СИ</t>
    </r>
    <r>
      <rPr>
        <vertAlign val="subscript"/>
        <sz val="12"/>
        <color rgb="FF000000"/>
        <rFont val="Times New Roman"/>
        <family val="1"/>
        <charset val="204"/>
      </rPr>
      <t>ТС</t>
    </r>
    <r>
      <rPr>
        <sz val="12"/>
        <color rgb="FF000000"/>
        <rFont val="Times New Roman"/>
        <family val="1"/>
        <charset val="204"/>
      </rPr>
      <t>), 
рублей
гр.6 × гр.7</t>
    </r>
  </si>
  <si>
    <t>Тахеометр Leica TS10 R1000 3"</t>
  </si>
  <si>
    <t>Телескопическая рейка Leica GSS112</t>
  </si>
  <si>
    <t>Таблица 3</t>
  </si>
  <si>
    <r>
      <t>Затраты на оплату труда работников (С</t>
    </r>
    <r>
      <rPr>
        <vertAlign val="subscript"/>
        <sz val="12"/>
        <color rgb="FF000000"/>
        <rFont val="Times New Roman"/>
        <family val="1"/>
        <charset val="204"/>
      </rPr>
      <t>ФОТо</t>
    </r>
    <r>
      <rPr>
        <sz val="12"/>
        <color rgb="FF000000"/>
        <rFont val="Times New Roman"/>
        <family val="1"/>
        <charset val="204"/>
      </rPr>
      <t>), рублей</t>
    </r>
  </si>
  <si>
    <r>
      <t>Накладные расходы (НР</t>
    </r>
    <r>
      <rPr>
        <vertAlign val="sub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), рублей</t>
    </r>
  </si>
  <si>
    <r>
      <t>Затраты на возмещение работникам, выполняющим работу вне места постоянной работы, расходов, предусмотренных статьей 168.1 Трудового кодекса Российской Федерации, за исключением расходов по проезду (С</t>
    </r>
    <r>
      <rPr>
        <vertAlign val="subscript"/>
        <sz val="12"/>
        <color rgb="FF000000"/>
        <rFont val="Times New Roman"/>
        <family val="1"/>
        <charset val="204"/>
      </rPr>
      <t>возО</t>
    </r>
    <r>
      <rPr>
        <sz val="12"/>
        <color rgb="FF000000"/>
        <rFont val="Times New Roman"/>
        <family val="1"/>
        <charset val="204"/>
      </rPr>
      <t>), рублей</t>
    </r>
  </si>
  <si>
    <r>
      <t>Затраты 
на использование технических средств 
для полевых работ (С</t>
    </r>
    <r>
      <rPr>
        <vertAlign val="subscript"/>
        <sz val="12"/>
        <color rgb="FF000000"/>
        <rFont val="Times New Roman"/>
        <family val="1"/>
        <charset val="204"/>
      </rPr>
      <t>ТСо)</t>
    </r>
    <r>
      <rPr>
        <sz val="12"/>
        <color rgb="FF000000"/>
        <rFont val="Times New Roman"/>
        <family val="1"/>
        <charset val="204"/>
      </rPr>
      <t xml:space="preserve">, рублей
</t>
    </r>
  </si>
  <si>
    <r>
      <t>Затраты на эксплуатацию машин (С</t>
    </r>
    <r>
      <rPr>
        <vertAlign val="subscript"/>
        <sz val="12"/>
        <color rgb="FF000000"/>
        <rFont val="Times New Roman"/>
        <family val="1"/>
        <charset val="204"/>
      </rPr>
      <t>М</t>
    </r>
    <r>
      <rPr>
        <sz val="12"/>
        <color rgb="FF000000"/>
        <rFont val="Times New Roman"/>
        <family val="1"/>
        <charset val="204"/>
      </rPr>
      <t xml:space="preserve">), рублей
</t>
    </r>
  </si>
  <si>
    <r>
      <t>Затраты 
на материалы, изделия, конструкции (С</t>
    </r>
    <r>
      <rPr>
        <vertAlign val="subscript"/>
        <sz val="12"/>
        <color rgb="FF000000"/>
        <rFont val="Times New Roman"/>
        <family val="1"/>
        <charset val="204"/>
      </rPr>
      <t>мат</t>
    </r>
    <r>
      <rPr>
        <sz val="12"/>
        <color rgb="FF000000"/>
        <rFont val="Times New Roman"/>
        <family val="1"/>
        <charset val="204"/>
      </rPr>
      <t xml:space="preserve">), рублей
</t>
    </r>
  </si>
  <si>
    <r>
      <t>Затраты 
на использование транспортных средств автомобильного транспорта при выполнении полевых работ  (С</t>
    </r>
    <r>
      <rPr>
        <vertAlign val="subscript"/>
        <sz val="12"/>
        <color rgb="FF000000"/>
        <rFont val="Times New Roman"/>
        <family val="1"/>
        <charset val="204"/>
      </rPr>
      <t>автоФ</t>
    </r>
    <r>
      <rPr>
        <sz val="12"/>
        <color rgb="FF000000"/>
        <rFont val="Times New Roman"/>
        <family val="1"/>
        <charset val="204"/>
      </rPr>
      <t xml:space="preserve">), рублей
</t>
    </r>
  </si>
  <si>
    <r>
      <t>Средства 
на сметную прибыль оцениваемых полевых работ (П</t>
    </r>
    <r>
      <rPr>
        <vertAlign val="subscript"/>
        <sz val="12"/>
        <color rgb="FF000000"/>
        <rFont val="Times New Roman"/>
        <family val="1"/>
        <charset val="204"/>
      </rPr>
      <t>По</t>
    </r>
    <r>
      <rPr>
        <sz val="12"/>
        <color rgb="FF000000"/>
        <rFont val="Times New Roman"/>
        <family val="1"/>
        <charset val="204"/>
      </rPr>
      <t xml:space="preserve">), рублей
</t>
    </r>
  </si>
  <si>
    <r>
      <t>Стоимость полевых работ 
в уровне цен по состоянию на 01.01.2024 года (С</t>
    </r>
    <r>
      <rPr>
        <vertAlign val="subscript"/>
        <sz val="12"/>
        <color rgb="FF000000"/>
        <rFont val="Times New Roman"/>
        <family val="1"/>
        <charset val="204"/>
      </rPr>
      <t>п</t>
    </r>
    <r>
      <rPr>
        <sz val="12"/>
        <color rgb="FF000000"/>
        <rFont val="Times New Roman"/>
        <family val="1"/>
        <charset val="204"/>
      </rPr>
      <t xml:space="preserve">), 
рублей
∑гр.1–гр.8 
</t>
    </r>
  </si>
  <si>
    <r>
      <t>Данные для определения затрат на эксплуатацию машин (С</t>
    </r>
    <r>
      <rPr>
        <b/>
        <vertAlign val="subscript"/>
        <sz val="12"/>
        <rFont val="Times New Roman"/>
        <family val="1"/>
        <charset val="204"/>
      </rPr>
      <t>М</t>
    </r>
    <r>
      <rPr>
        <b/>
        <sz val="12"/>
        <rFont val="Times New Roman"/>
        <family val="1"/>
        <charset val="204"/>
      </rPr>
      <t>)</t>
    </r>
  </si>
  <si>
    <t>п/п</t>
  </si>
  <si>
    <t>Код ресурса в КСР</t>
  </si>
  <si>
    <t>Наименование</t>
  </si>
  <si>
    <t>Сметная цена
в уровне цен 
по состоянию
на 01.01.2022, руб.</t>
  </si>
  <si>
    <t xml:space="preserve">Индекс изменения сметной стоимости к группе однородных строительных ресурсов (далее - Индекс ГОСР) для Московской области </t>
  </si>
  <si>
    <t>Сметная цена
на 4 квартал 2023 г., руб.</t>
  </si>
  <si>
    <t>Код среднего разряда машиниста</t>
  </si>
  <si>
    <t>Заработная плата работников, управляющих машинами для Московской области на на 4 квартал 2023 г., руб.</t>
  </si>
  <si>
    <t>91.13.01-038</t>
  </si>
  <si>
    <t>Машины поливомоечные, вместимость цистерны 6 м3</t>
  </si>
  <si>
    <t>4-100-040</t>
  </si>
  <si>
    <t>91.04.01-111</t>
  </si>
  <si>
    <t>Установка вращательно-колонкового бурения с двигателем внутреннего сгорания, глубина бурения до 1755 м, диаметр бурения 60-122,6 мм, мощность 153 кВт (220 л.с.)</t>
  </si>
  <si>
    <t>4-100-060</t>
  </si>
  <si>
    <r>
      <t>Данные для определения затрат на материалы, изделия, конструкции (С</t>
    </r>
    <r>
      <rPr>
        <b/>
        <vertAlign val="subscript"/>
        <sz val="12"/>
        <rFont val="Times New Roman"/>
        <family val="1"/>
        <charset val="204"/>
      </rPr>
      <t>мат</t>
    </r>
    <r>
      <rPr>
        <b/>
        <sz val="12"/>
        <rFont val="Times New Roman"/>
        <family val="1"/>
        <charset val="204"/>
      </rPr>
      <t>)</t>
    </r>
  </si>
  <si>
    <t>№</t>
  </si>
  <si>
    <t>Наименование материального ресурса</t>
  </si>
  <si>
    <t>Единица измерения</t>
  </si>
  <si>
    <t>Расход материального ресурса, шт/п.м.</t>
  </si>
  <si>
    <t>Цена материального ресурса без учета НДС, рублей*</t>
  </si>
  <si>
    <t>Объем работ, п.м.</t>
  </si>
  <si>
    <r>
      <t>Затраты на приобретение материалов, изделий, конструкций (С</t>
    </r>
    <r>
      <rPr>
        <vertAlign val="subscript"/>
        <sz val="12"/>
        <color rgb="FF000000"/>
        <rFont val="Times New Roman"/>
        <family val="1"/>
        <charset val="204"/>
      </rPr>
      <t>мат</t>
    </r>
    <r>
      <rPr>
        <sz val="12"/>
        <color rgb="FF000000"/>
        <rFont val="Times New Roman"/>
        <family val="1"/>
        <charset val="204"/>
      </rPr>
      <t>), рублей 
гр.4 × гр.5 × гр.6</t>
    </r>
  </si>
  <si>
    <t xml:space="preserve">Алмазная коронка твердосплавная Типоразмер ZN, диаметр до 93 мм              </t>
  </si>
  <si>
    <t>шт.</t>
  </si>
  <si>
    <t>*цена материального ресурса приведена условно</t>
  </si>
  <si>
    <r>
      <t>Данные для определения затрат на использование транспортных средств автомобильного транспорта при выполнении полевых работ  (С</t>
    </r>
    <r>
      <rPr>
        <b/>
        <vertAlign val="subscript"/>
        <sz val="12"/>
        <rFont val="Times New Roman"/>
        <family val="1"/>
        <charset val="204"/>
      </rPr>
      <t>автоф</t>
    </r>
    <r>
      <rPr>
        <b/>
        <sz val="12"/>
        <rFont val="Times New Roman"/>
        <family val="1"/>
        <charset val="204"/>
      </rPr>
      <t>)</t>
    </r>
  </si>
  <si>
    <t xml:space="preserve">Индекс ГОСР для Московской области </t>
  </si>
  <si>
    <t>91.13.03-118</t>
  </si>
  <si>
    <t>Автомобили повышенной проходимости, грузоподъемность до 0,5 т</t>
  </si>
  <si>
    <t xml:space="preserve">Состав и объем выполненных инженерно-геологических работ </t>
  </si>
  <si>
    <t>Объем работ</t>
  </si>
  <si>
    <t xml:space="preserve">Планово-высотная привязка инженерно-геологических выработок при расстоянии между привязываемыми точками 350–500 м </t>
  </si>
  <si>
    <t>выработка</t>
  </si>
  <si>
    <t>Проходка инженерно-геологических выработок установкой вращательного бурения колонковым способом диаметром до 76 мм с применением снарядов со съемными керноприемниками ССК</t>
  </si>
  <si>
    <t>выработка/п.м.</t>
  </si>
  <si>
    <t>12/1800</t>
  </si>
  <si>
    <t xml:space="preserve">Отбор образцов грунтов </t>
  </si>
  <si>
    <t>проба</t>
  </si>
  <si>
    <t>Гидрогеологические наблюдения при проходке инженерно-геологических выработок</t>
  </si>
  <si>
    <t>п.м.</t>
  </si>
  <si>
    <t>Планово-высотная привязка точек полевых исследований при расстоянии между привязываемыми точками до 350 м</t>
  </si>
  <si>
    <t>точка </t>
  </si>
  <si>
    <t>12 </t>
  </si>
  <si>
    <t xml:space="preserve">Испытания грунтов статическим зондированием </t>
  </si>
  <si>
    <t> испытание</t>
  </si>
  <si>
    <t>Приложение № 1 к Примеру определения стоимости полевых работ на инженерно-геологические изыскания</t>
  </si>
  <si>
    <t>Место проведения полевых работ: Краснодарский край</t>
  </si>
  <si>
    <t>Место расположения организации исполнителя работ: г. Москва</t>
  </si>
  <si>
    <t>Стоимость работ по инженерным изысканиям для учета в сметной стоимости строительства определяется в уровне цен по состоянию на 3 квартал 2024 года</t>
  </si>
  <si>
    <t>Состав и объем выполненных полевых инженерно-геологических работ приведен в таблице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</si>
</sst>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  <numFmt numFmtId="166" formatCode="_-* #,##0.000\ _₽_-;\-* #,##0.000\ _₽_-;_-* &quot;-&quot;??\ _₽_-;_-@_-"/>
    <numFmt numFmtId="167" formatCode="_-* #,##0.000\ _₽_-;\-* #,##0.000\ _₽_-;_-* &quot;-&quot;???\ _₽_-;_-@_-"/>
    <numFmt numFmtId="168" formatCode="_-* #,##0.0000\ _₽_-;\-* #,##0.0000\ _₽_-;_-* &quot;-&quot;??\ _₽_-;_-@_-"/>
    <numFmt numFmtId="169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vertAlign val="subscript"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top" wrapText="1"/>
    </xf>
    <xf numFmtId="3" fontId="3" fillId="0" borderId="8" xfId="2" applyNumberFormat="1" applyFont="1" applyFill="1" applyBorder="1" applyAlignment="1">
      <alignment horizontal="center" vertical="center" wrapText="1"/>
    </xf>
    <xf numFmtId="164" fontId="3" fillId="0" borderId="6" xfId="2" applyNumberFormat="1" applyFont="1" applyBorder="1" applyAlignment="1">
      <alignment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43" fontId="3" fillId="0" borderId="0" xfId="2" applyNumberFormat="1" applyFont="1" applyFill="1" applyBorder="1"/>
    <xf numFmtId="164" fontId="3" fillId="0" borderId="9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/>
    <xf numFmtId="164" fontId="3" fillId="0" borderId="9" xfId="2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 wrapText="1"/>
    </xf>
    <xf numFmtId="0" fontId="3" fillId="0" borderId="10" xfId="2" applyFont="1" applyBorder="1"/>
    <xf numFmtId="0" fontId="3" fillId="0" borderId="0" xfId="2" applyFont="1" applyBorder="1"/>
    <xf numFmtId="0" fontId="3" fillId="0" borderId="11" xfId="2" applyFont="1" applyBorder="1"/>
    <xf numFmtId="3" fontId="3" fillId="0" borderId="0" xfId="0" applyNumberFormat="1" applyFont="1" applyAlignment="1">
      <alignment horizontal="right" vertical="center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2" xfId="2" applyFont="1" applyFill="1" applyBorder="1"/>
    <xf numFmtId="164" fontId="3" fillId="0" borderId="12" xfId="2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168" fontId="3" fillId="0" borderId="0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1" xfId="0" applyNumberFormat="1" applyFont="1" applyBorder="1"/>
    <xf numFmtId="0" fontId="2" fillId="0" borderId="0" xfId="0" applyFont="1"/>
    <xf numFmtId="43" fontId="3" fillId="0" borderId="0" xfId="1" applyFont="1"/>
    <xf numFmtId="0" fontId="3" fillId="0" borderId="0" xfId="2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4" fontId="3" fillId="0" borderId="0" xfId="0" applyNumberFormat="1" applyFont="1" applyAlignment="1">
      <alignment vertical="center"/>
    </xf>
    <xf numFmtId="0" fontId="3" fillId="0" borderId="6" xfId="2" applyNumberFormat="1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center" vertical="top" wrapText="1"/>
    </xf>
    <xf numFmtId="49" fontId="3" fillId="0" borderId="12" xfId="2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4" fontId="8" fillId="0" borderId="0" xfId="1" applyNumberFormat="1" applyFont="1"/>
    <xf numFmtId="164" fontId="9" fillId="0" borderId="1" xfId="1" applyNumberFormat="1" applyFont="1" applyBorder="1" applyAlignment="1">
      <alignment horizontal="center" vertical="center" wrapText="1"/>
    </xf>
    <xf numFmtId="164" fontId="8" fillId="0" borderId="0" xfId="0" applyNumberFormat="1" applyFont="1"/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center" vertical="top" wrapText="1"/>
    </xf>
    <xf numFmtId="0" fontId="3" fillId="0" borderId="9" xfId="2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49" fontId="3" fillId="0" borderId="9" xfId="2" applyNumberFormat="1" applyFont="1" applyFill="1" applyBorder="1" applyAlignment="1">
      <alignment horizontal="center" vertical="top" wrapText="1"/>
    </xf>
    <xf numFmtId="49" fontId="3" fillId="0" borderId="12" xfId="2" applyNumberFormat="1" applyFont="1" applyFill="1" applyBorder="1" applyAlignment="1">
      <alignment horizontal="center" vertical="top" wrapText="1"/>
    </xf>
    <xf numFmtId="0" fontId="3" fillId="0" borderId="12" xfId="2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3" fontId="11" fillId="0" borderId="3" xfId="1" applyFont="1" applyBorder="1" applyAlignment="1">
      <alignment horizontal="left" vertical="center" wrapText="1"/>
    </xf>
    <xf numFmtId="43" fontId="11" fillId="0" borderId="4" xfId="1" applyFont="1" applyBorder="1" applyAlignment="1">
      <alignment horizontal="left" vertical="center" wrapText="1"/>
    </xf>
    <xf numFmtId="43" fontId="11" fillId="0" borderId="5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3" xfId="3"/>
    <cellStyle name="Обычный_Очистные 6000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332648</xdr:colOff>
      <xdr:row>43</xdr:row>
      <xdr:rowOff>170405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9048" cy="8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9</xdr:col>
      <xdr:colOff>304076</xdr:colOff>
      <xdr:row>89</xdr:row>
      <xdr:rowOff>141786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82000"/>
          <a:ext cx="5790476" cy="8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9</xdr:col>
      <xdr:colOff>313600</xdr:colOff>
      <xdr:row>135</xdr:row>
      <xdr:rowOff>103690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145000"/>
          <a:ext cx="5800000" cy="8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9</xdr:col>
      <xdr:colOff>256457</xdr:colOff>
      <xdr:row>180</xdr:row>
      <xdr:rowOff>113214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908000"/>
          <a:ext cx="5742857" cy="8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9</xdr:col>
      <xdr:colOff>323124</xdr:colOff>
      <xdr:row>225</xdr:row>
      <xdr:rowOff>17976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4671000"/>
          <a:ext cx="5809524" cy="8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9</xdr:col>
      <xdr:colOff>285029</xdr:colOff>
      <xdr:row>270</xdr:row>
      <xdr:rowOff>132262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3243500"/>
          <a:ext cx="5771429" cy="8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9</xdr:col>
      <xdr:colOff>285029</xdr:colOff>
      <xdr:row>315</xdr:row>
      <xdr:rowOff>103690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2006500"/>
          <a:ext cx="5771429" cy="8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9</xdr:col>
      <xdr:colOff>313600</xdr:colOff>
      <xdr:row>358</xdr:row>
      <xdr:rowOff>160881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0769500"/>
          <a:ext cx="5800000" cy="8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9</xdr:col>
      <xdr:colOff>313600</xdr:colOff>
      <xdr:row>404</xdr:row>
      <xdr:rowOff>46548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9151500"/>
          <a:ext cx="5800000" cy="8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9</xdr:col>
      <xdr:colOff>313600</xdr:colOff>
      <xdr:row>449</xdr:row>
      <xdr:rowOff>37024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77724000"/>
          <a:ext cx="5800000" cy="8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9</xdr:col>
      <xdr:colOff>351695</xdr:colOff>
      <xdr:row>495</xdr:row>
      <xdr:rowOff>37000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6296500"/>
          <a:ext cx="5838095" cy="8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9</xdr:col>
      <xdr:colOff>285029</xdr:colOff>
      <xdr:row>539</xdr:row>
      <xdr:rowOff>160857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95059500"/>
          <a:ext cx="5771429" cy="8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9</xdr:col>
      <xdr:colOff>265981</xdr:colOff>
      <xdr:row>555</xdr:row>
      <xdr:rowOff>18690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3632000"/>
          <a:ext cx="5752381" cy="2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40;&#1088;&#1093;&#1080;&#1074;%20&#1060;&#1062;&#1062;&#1057;\&#1056;&#1052;&#1053;&#1055;&#1044;&#1080;&#1042;&#1056;\!!!%20&#1055;&#1088;&#1080;&#1082;&#1072;&#1079;&#1099;%20&#1052;&#1080;&#1085;&#1089;&#1090;&#1088;&#1086;&#1103;%20&#1087;&#1086;%20&#1091;&#1090;&#1074;&#1077;&#1088;&#1078;&#1076;&#1077;&#1085;&#1080;&#1102;%20&#1052;&#1077;&#1090;&#1086;&#1076;&#1080;&#1082;\2024%20&#1075;&#1086;&#1076;\&#1044;&#1083;&#1103;%20&#1060;&#1043;&#1048;&#1057;%20&#1062;&#1057;\&#1055;&#1088;&#1080;&#1084;&#1077;&#1088;%20&#1087;&#1086;%20&#1086;&#1087;&#1088;&#1077;&#1076;%20&#1089;&#1090;-&#1090;&#1080;%20&#1087;&#1086;&#1083;&#1077;&#1074;&#1099;&#1093;%20&#1088;&#1072;&#1073;&#1086;&#1090;%20&#1085;&#1072;%20&#1080;&#1085;&#1078;&#1077;&#1085;&#1077;&#1088;&#1085;&#1086;-&#1075;&#1077;&#1086;&#1083;&#1086;&#1075;%20&#1080;&#1079;&#1099;&#1089;&#1082;&#1072;&#1085;&#1080;&#1103;\&#1055;&#1088;&#1080;&#1084;&#1077;&#1088;%202.%20&#1057;&#1084;&#1077;&#1090;&#1072;%20&#8470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№ 2"/>
      <sheetName val="Доп. данные для расчета См.№2  "/>
    </sheetNames>
    <sheetDataSet>
      <sheetData sheetId="0"/>
      <sheetData sheetId="1">
        <row r="4">
          <cell r="G4">
            <v>1210.04</v>
          </cell>
          <cell r="I4">
            <v>444.91</v>
          </cell>
        </row>
        <row r="5">
          <cell r="G5">
            <v>3453.76</v>
          </cell>
          <cell r="I5">
            <v>597.64</v>
          </cell>
        </row>
        <row r="11">
          <cell r="I11">
            <v>284400</v>
          </cell>
        </row>
        <row r="17">
          <cell r="G17">
            <v>495.88</v>
          </cell>
          <cell r="I17">
            <v>444.91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L54"/>
  <sheetViews>
    <sheetView tabSelected="1" zoomScaleNormal="100" zoomScaleSheetLayoutView="110" workbookViewId="0">
      <selection activeCell="A2" sqref="A2:G2"/>
    </sheetView>
  </sheetViews>
  <sheetFormatPr defaultRowHeight="15.75" x14ac:dyDescent="0.25"/>
  <cols>
    <col min="1" max="1" width="6.28515625" style="1" customWidth="1"/>
    <col min="2" max="2" width="32.5703125" style="1" customWidth="1"/>
    <col min="3" max="3" width="8.5703125" style="1" customWidth="1"/>
    <col min="4" max="4" width="15.28515625" style="1" customWidth="1"/>
    <col min="5" max="5" width="34" style="1" customWidth="1"/>
    <col min="6" max="6" width="26.140625" style="1" customWidth="1"/>
    <col min="7" max="7" width="21.140625" style="1" customWidth="1"/>
    <col min="8" max="8" width="16" style="1" bestFit="1" customWidth="1"/>
    <col min="9" max="9" width="16.5703125" style="1" bestFit="1" customWidth="1"/>
    <col min="10" max="16384" width="9.140625" style="1"/>
  </cols>
  <sheetData>
    <row r="2" spans="1:8" ht="15.75" customHeight="1" x14ac:dyDescent="0.25">
      <c r="A2" s="89" t="s">
        <v>49</v>
      </c>
      <c r="B2" s="90"/>
      <c r="C2" s="90"/>
      <c r="D2" s="90"/>
      <c r="E2" s="90"/>
      <c r="F2" s="90"/>
      <c r="G2" s="90"/>
    </row>
    <row r="3" spans="1:8" ht="15.75" customHeight="1" x14ac:dyDescent="0.25">
      <c r="A3" s="47"/>
      <c r="B3" s="47"/>
      <c r="C3" s="47"/>
      <c r="D3" s="47"/>
      <c r="E3" s="47"/>
      <c r="F3" s="47"/>
      <c r="G3" s="47"/>
    </row>
    <row r="4" spans="1:8" x14ac:dyDescent="0.25">
      <c r="A4" s="91" t="s">
        <v>18</v>
      </c>
      <c r="B4" s="91"/>
      <c r="C4" s="91"/>
      <c r="D4" s="91"/>
      <c r="E4" s="91"/>
      <c r="F4" s="91"/>
      <c r="G4" s="91"/>
    </row>
    <row r="5" spans="1:8" x14ac:dyDescent="0.25">
      <c r="A5" s="91" t="s">
        <v>19</v>
      </c>
      <c r="B5" s="91"/>
      <c r="C5" s="91"/>
      <c r="D5" s="91"/>
      <c r="E5" s="91"/>
      <c r="F5" s="91"/>
      <c r="G5" s="91"/>
    </row>
    <row r="6" spans="1:8" x14ac:dyDescent="0.25">
      <c r="A6" s="47"/>
      <c r="B6" s="47"/>
      <c r="C6" s="47"/>
      <c r="D6" s="47"/>
      <c r="E6" s="47"/>
      <c r="F6" s="47"/>
      <c r="G6" s="47"/>
    </row>
    <row r="7" spans="1:8" x14ac:dyDescent="0.25">
      <c r="A7" s="92" t="s">
        <v>10</v>
      </c>
      <c r="B7" s="91"/>
      <c r="C7" s="91"/>
      <c r="D7" s="91"/>
      <c r="E7" s="91"/>
      <c r="F7" s="91"/>
      <c r="G7" s="91"/>
    </row>
    <row r="8" spans="1:8" x14ac:dyDescent="0.25">
      <c r="A8" s="93" t="s">
        <v>0</v>
      </c>
      <c r="B8" s="93"/>
      <c r="C8" s="93"/>
      <c r="D8" s="93"/>
      <c r="E8" s="93"/>
      <c r="F8" s="93"/>
      <c r="G8" s="93"/>
    </row>
    <row r="9" spans="1:8" x14ac:dyDescent="0.25">
      <c r="A9" s="47"/>
      <c r="B9" s="47"/>
      <c r="C9" s="47"/>
      <c r="D9" s="47"/>
      <c r="E9" s="47"/>
      <c r="F9" s="47"/>
      <c r="G9" s="47"/>
    </row>
    <row r="10" spans="1:8" x14ac:dyDescent="0.25">
      <c r="A10" s="2" t="s">
        <v>39</v>
      </c>
      <c r="G10" s="3"/>
    </row>
    <row r="11" spans="1:8" ht="141.75" x14ac:dyDescent="0.25">
      <c r="A11" s="4" t="s">
        <v>1</v>
      </c>
      <c r="B11" s="4" t="s">
        <v>29</v>
      </c>
      <c r="C11" s="94" t="s">
        <v>2</v>
      </c>
      <c r="D11" s="95"/>
      <c r="E11" s="96"/>
      <c r="F11" s="44" t="s">
        <v>3</v>
      </c>
      <c r="G11" s="4" t="s">
        <v>28</v>
      </c>
    </row>
    <row r="12" spans="1:8" x14ac:dyDescent="0.25">
      <c r="A12" s="5"/>
      <c r="B12" s="94" t="s">
        <v>25</v>
      </c>
      <c r="C12" s="95"/>
      <c r="D12" s="95"/>
      <c r="E12" s="95"/>
      <c r="F12" s="95"/>
      <c r="G12" s="96"/>
    </row>
    <row r="13" spans="1:8" ht="63" x14ac:dyDescent="0.25">
      <c r="A13" s="97">
        <v>1</v>
      </c>
      <c r="B13" s="6" t="s">
        <v>12</v>
      </c>
      <c r="C13" s="99" t="s">
        <v>11</v>
      </c>
      <c r="D13" s="100"/>
      <c r="E13" s="101"/>
      <c r="F13" s="7" t="str">
        <f>CONCATENATE(D14," х ",D15," х ",D16," х ",D17)</f>
        <v>1,8 х 1440 х 1 х 69,54</v>
      </c>
      <c r="G13" s="8">
        <f>D14*D15*D16*D17</f>
        <v>180248</v>
      </c>
      <c r="H13" s="38"/>
    </row>
    <row r="14" spans="1:8" x14ac:dyDescent="0.25">
      <c r="A14" s="98"/>
      <c r="B14" s="9"/>
      <c r="C14" s="10" t="s">
        <v>4</v>
      </c>
      <c r="D14" s="40">
        <v>1.8</v>
      </c>
      <c r="E14" s="11" t="s">
        <v>5</v>
      </c>
      <c r="F14" s="12"/>
      <c r="G14" s="13"/>
      <c r="H14" s="38"/>
    </row>
    <row r="15" spans="1:8" x14ac:dyDescent="0.25">
      <c r="A15" s="98"/>
      <c r="B15" s="14"/>
      <c r="C15" s="10" t="s">
        <v>6</v>
      </c>
      <c r="D15" s="15">
        <v>1440</v>
      </c>
      <c r="E15" s="11" t="s">
        <v>8</v>
      </c>
      <c r="F15" s="16"/>
      <c r="G15" s="13"/>
      <c r="H15" s="38"/>
    </row>
    <row r="16" spans="1:8" x14ac:dyDescent="0.25">
      <c r="A16" s="98"/>
      <c r="B16" s="14"/>
      <c r="C16" s="10" t="s">
        <v>7</v>
      </c>
      <c r="D16" s="17">
        <v>1</v>
      </c>
      <c r="E16" s="11"/>
      <c r="F16" s="18"/>
      <c r="G16" s="19"/>
      <c r="H16" s="38"/>
    </row>
    <row r="17" spans="1:12" ht="78.75" x14ac:dyDescent="0.25">
      <c r="A17" s="98"/>
      <c r="B17" s="14"/>
      <c r="C17" s="10" t="s">
        <v>41</v>
      </c>
      <c r="D17" s="20">
        <v>69.540000000000006</v>
      </c>
      <c r="E17" s="11" t="s">
        <v>50</v>
      </c>
      <c r="F17" s="18"/>
      <c r="G17" s="19"/>
      <c r="H17" s="38"/>
      <c r="L17" s="1" t="s">
        <v>38</v>
      </c>
    </row>
    <row r="18" spans="1:12" x14ac:dyDescent="0.25">
      <c r="A18" s="104"/>
      <c r="B18" s="14"/>
      <c r="C18" s="21"/>
      <c r="D18" s="22"/>
      <c r="E18" s="23"/>
      <c r="F18" s="18"/>
      <c r="G18" s="19"/>
      <c r="H18" s="38"/>
    </row>
    <row r="19" spans="1:12" ht="81.75" customHeight="1" x14ac:dyDescent="0.25">
      <c r="A19" s="97">
        <v>2</v>
      </c>
      <c r="B19" s="6" t="s">
        <v>35</v>
      </c>
      <c r="C19" s="99" t="s">
        <v>32</v>
      </c>
      <c r="D19" s="100"/>
      <c r="E19" s="101"/>
      <c r="F19" s="7" t="str">
        <f>CONCATENATE(D20," х ",D21," х ",D22," х ",D23)</f>
        <v>18,4 х 12 х 1,5 х 69,54</v>
      </c>
      <c r="G19" s="8">
        <f>D20*D21*D22*D23</f>
        <v>23032</v>
      </c>
      <c r="H19" s="38"/>
    </row>
    <row r="20" spans="1:12" x14ac:dyDescent="0.25">
      <c r="A20" s="98"/>
      <c r="B20" s="9"/>
      <c r="C20" s="10" t="s">
        <v>4</v>
      </c>
      <c r="D20" s="40">
        <v>18.399999999999999</v>
      </c>
      <c r="E20" s="11" t="s">
        <v>5</v>
      </c>
      <c r="F20" s="12"/>
      <c r="G20" s="13"/>
    </row>
    <row r="21" spans="1:12" x14ac:dyDescent="0.25">
      <c r="A21" s="98"/>
      <c r="B21" s="14"/>
      <c r="C21" s="10" t="s">
        <v>6</v>
      </c>
      <c r="D21" s="15">
        <v>12</v>
      </c>
      <c r="E21" s="11" t="s">
        <v>33</v>
      </c>
      <c r="F21" s="16"/>
      <c r="G21" s="13"/>
    </row>
    <row r="22" spans="1:12" ht="47.25" x14ac:dyDescent="0.25">
      <c r="A22" s="98"/>
      <c r="B22" s="14"/>
      <c r="C22" s="10" t="s">
        <v>7</v>
      </c>
      <c r="D22" s="17">
        <v>1.5</v>
      </c>
      <c r="E22" s="11" t="s">
        <v>34</v>
      </c>
      <c r="F22" s="18"/>
      <c r="G22" s="19"/>
    </row>
    <row r="23" spans="1:12" ht="78.75" x14ac:dyDescent="0.25">
      <c r="A23" s="98"/>
      <c r="B23" s="14"/>
      <c r="C23" s="10" t="s">
        <v>41</v>
      </c>
      <c r="D23" s="31">
        <v>69.540000000000006</v>
      </c>
      <c r="E23" s="11" t="s">
        <v>50</v>
      </c>
      <c r="F23" s="18"/>
      <c r="G23" s="19"/>
    </row>
    <row r="24" spans="1:12" x14ac:dyDescent="0.25">
      <c r="A24" s="98"/>
      <c r="B24" s="14"/>
      <c r="C24" s="21"/>
      <c r="D24" s="22"/>
      <c r="E24" s="23"/>
      <c r="F24" s="18"/>
      <c r="G24" s="19"/>
    </row>
    <row r="25" spans="1:12" ht="81.75" customHeight="1" x14ac:dyDescent="0.25">
      <c r="A25" s="97">
        <v>3</v>
      </c>
      <c r="B25" s="6" t="s">
        <v>40</v>
      </c>
      <c r="C25" s="99" t="s">
        <v>30</v>
      </c>
      <c r="D25" s="100"/>
      <c r="E25" s="101"/>
      <c r="F25" s="7" t="str">
        <f>CONCATENATE(D26," х ",D27," х ",D28," х ",D29)</f>
        <v>216,8 х 12 х 1,35 х 69,54</v>
      </c>
      <c r="G25" s="8">
        <f>D26*D27*D29*D28</f>
        <v>244236</v>
      </c>
      <c r="H25" s="38"/>
    </row>
    <row r="26" spans="1:12" x14ac:dyDescent="0.25">
      <c r="A26" s="98"/>
      <c r="B26" s="9"/>
      <c r="C26" s="10" t="s">
        <v>4</v>
      </c>
      <c r="D26" s="40">
        <v>216.8</v>
      </c>
      <c r="E26" s="11" t="s">
        <v>5</v>
      </c>
      <c r="F26" s="12"/>
      <c r="G26" s="13"/>
    </row>
    <row r="27" spans="1:12" x14ac:dyDescent="0.25">
      <c r="A27" s="98"/>
      <c r="B27" s="14"/>
      <c r="C27" s="10" t="s">
        <v>6</v>
      </c>
      <c r="D27" s="15">
        <v>12</v>
      </c>
      <c r="E27" s="11" t="s">
        <v>13</v>
      </c>
      <c r="F27" s="16"/>
      <c r="G27" s="13"/>
    </row>
    <row r="28" spans="1:12" ht="31.5" x14ac:dyDescent="0.25">
      <c r="A28" s="98"/>
      <c r="B28" s="14"/>
      <c r="C28" s="10" t="s">
        <v>7</v>
      </c>
      <c r="D28" s="17">
        <v>1.35</v>
      </c>
      <c r="E28" s="11" t="s">
        <v>21</v>
      </c>
      <c r="F28" s="39"/>
      <c r="G28" s="13"/>
    </row>
    <row r="29" spans="1:12" ht="78.75" x14ac:dyDescent="0.25">
      <c r="A29" s="98"/>
      <c r="B29" s="14"/>
      <c r="C29" s="10" t="s">
        <v>41</v>
      </c>
      <c r="D29" s="31">
        <v>69.540000000000006</v>
      </c>
      <c r="E29" s="11" t="s">
        <v>50</v>
      </c>
      <c r="F29" s="18"/>
      <c r="G29" s="19"/>
    </row>
    <row r="30" spans="1:12" x14ac:dyDescent="0.25">
      <c r="A30" s="98"/>
      <c r="B30" s="14"/>
      <c r="C30" s="21"/>
      <c r="D30" s="22"/>
      <c r="E30" s="23"/>
      <c r="F30" s="18"/>
      <c r="G30" s="19"/>
    </row>
    <row r="31" spans="1:12" ht="141.75" x14ac:dyDescent="0.25">
      <c r="A31" s="97">
        <v>4</v>
      </c>
      <c r="B31" s="6" t="s">
        <v>20</v>
      </c>
      <c r="C31" s="99" t="s">
        <v>42</v>
      </c>
      <c r="D31" s="100"/>
      <c r="E31" s="101"/>
      <c r="F31" s="7" t="str">
        <f>CONCATENATE(D32," х ",D33)</f>
        <v>20095301 х 1,08</v>
      </c>
      <c r="G31" s="8">
        <f>D32*D33</f>
        <v>21702925</v>
      </c>
      <c r="H31" s="38"/>
    </row>
    <row r="32" spans="1:12" ht="31.5" x14ac:dyDescent="0.25">
      <c r="A32" s="98"/>
      <c r="B32" s="9"/>
      <c r="C32" s="10" t="s">
        <v>9</v>
      </c>
      <c r="D32" s="42">
        <v>20095301</v>
      </c>
      <c r="E32" s="11" t="s">
        <v>43</v>
      </c>
      <c r="F32" s="12"/>
      <c r="G32" s="13"/>
      <c r="H32" s="38"/>
    </row>
    <row r="33" spans="1:9" ht="78.75" x14ac:dyDescent="0.25">
      <c r="A33" s="98"/>
      <c r="B33" s="14"/>
      <c r="C33" s="10" t="s">
        <v>41</v>
      </c>
      <c r="D33" s="31">
        <v>1.08</v>
      </c>
      <c r="E33" s="11" t="s">
        <v>51</v>
      </c>
      <c r="F33" s="18"/>
      <c r="G33" s="19"/>
      <c r="H33" s="38"/>
      <c r="I33" s="38"/>
    </row>
    <row r="34" spans="1:9" x14ac:dyDescent="0.25">
      <c r="A34" s="98"/>
      <c r="B34" s="14"/>
      <c r="C34" s="21"/>
      <c r="D34" s="22"/>
      <c r="E34" s="23"/>
      <c r="F34" s="18"/>
      <c r="G34" s="19"/>
      <c r="H34" s="38"/>
    </row>
    <row r="35" spans="1:9" ht="84" customHeight="1" x14ac:dyDescent="0.25">
      <c r="A35" s="97">
        <v>5</v>
      </c>
      <c r="B35" s="6" t="s">
        <v>22</v>
      </c>
      <c r="C35" s="99" t="s">
        <v>14</v>
      </c>
      <c r="D35" s="100"/>
      <c r="E35" s="101"/>
      <c r="F35" s="7" t="str">
        <f>CONCATENATE(D37," х ",D38)</f>
        <v>203280 х 0,1375</v>
      </c>
      <c r="G35" s="8">
        <f>D37*D38</f>
        <v>27951</v>
      </c>
    </row>
    <row r="36" spans="1:9" ht="94.5" x14ac:dyDescent="0.25">
      <c r="A36" s="102"/>
      <c r="B36" s="9"/>
      <c r="C36" s="10" t="s">
        <v>9</v>
      </c>
      <c r="D36" s="24">
        <f>SUM(G13,G31,G19)/D17</f>
        <v>315016</v>
      </c>
      <c r="E36" s="11" t="s">
        <v>46</v>
      </c>
      <c r="F36" s="12"/>
      <c r="G36" s="13"/>
      <c r="I36" s="29"/>
    </row>
    <row r="37" spans="1:9" ht="110.25" x14ac:dyDescent="0.25">
      <c r="A37" s="102"/>
      <c r="B37" s="9"/>
      <c r="C37" s="10" t="s">
        <v>9</v>
      </c>
      <c r="D37" s="24">
        <f>(G13+G19)</f>
        <v>203280</v>
      </c>
      <c r="E37" s="11" t="s">
        <v>44</v>
      </c>
      <c r="F37" s="12"/>
      <c r="G37" s="13"/>
      <c r="I37" s="29"/>
    </row>
    <row r="38" spans="1:9" x14ac:dyDescent="0.25">
      <c r="A38" s="102"/>
      <c r="B38" s="14"/>
      <c r="C38" s="10" t="s">
        <v>24</v>
      </c>
      <c r="D38" s="30">
        <v>0.13750000000000001</v>
      </c>
      <c r="E38" s="11" t="s">
        <v>37</v>
      </c>
      <c r="F38" s="16"/>
      <c r="G38" s="13"/>
    </row>
    <row r="39" spans="1:9" x14ac:dyDescent="0.25">
      <c r="A39" s="103"/>
      <c r="B39" s="25"/>
      <c r="C39" s="26"/>
      <c r="D39" s="26"/>
      <c r="E39" s="26"/>
      <c r="F39" s="27"/>
      <c r="G39" s="28"/>
    </row>
    <row r="40" spans="1:9" ht="66" customHeight="1" x14ac:dyDescent="0.25">
      <c r="A40" s="43">
        <v>6</v>
      </c>
      <c r="B40" s="6" t="s">
        <v>48</v>
      </c>
      <c r="C40" s="99" t="s">
        <v>15</v>
      </c>
      <c r="D40" s="100"/>
      <c r="E40" s="101"/>
      <c r="F40" s="7" t="str">
        <f>CONCATENATE(D41," х ",D42,"")</f>
        <v>22178392 х 0,06</v>
      </c>
      <c r="G40" s="8">
        <f>D41*D42</f>
        <v>1330704</v>
      </c>
    </row>
    <row r="41" spans="1:9" x14ac:dyDescent="0.25">
      <c r="A41" s="45"/>
      <c r="B41" s="9"/>
      <c r="C41" s="10" t="s">
        <v>9</v>
      </c>
      <c r="D41" s="24">
        <f>SUM(G13:G39)</f>
        <v>22178392</v>
      </c>
      <c r="E41" s="11" t="s">
        <v>17</v>
      </c>
      <c r="F41" s="12"/>
      <c r="G41" s="13"/>
      <c r="H41" s="29"/>
      <c r="I41" s="29"/>
    </row>
    <row r="42" spans="1:9" x14ac:dyDescent="0.25">
      <c r="A42" s="45"/>
      <c r="B42" s="14"/>
      <c r="C42" s="10" t="s">
        <v>24</v>
      </c>
      <c r="D42" s="31">
        <v>0.06</v>
      </c>
      <c r="E42" s="11" t="s">
        <v>45</v>
      </c>
      <c r="F42" s="16"/>
      <c r="G42" s="13"/>
    </row>
    <row r="43" spans="1:9" x14ac:dyDescent="0.25">
      <c r="A43" s="45"/>
      <c r="B43" s="14"/>
      <c r="C43" s="10"/>
      <c r="D43" s="17"/>
      <c r="E43" s="11"/>
      <c r="F43" s="18"/>
      <c r="G43" s="19"/>
    </row>
    <row r="44" spans="1:9" x14ac:dyDescent="0.25">
      <c r="A44" s="46"/>
      <c r="B44" s="25"/>
      <c r="C44" s="26"/>
      <c r="D44" s="26"/>
      <c r="E44" s="26"/>
      <c r="F44" s="27"/>
      <c r="G44" s="28"/>
    </row>
    <row r="45" spans="1:9" ht="110.25" x14ac:dyDescent="0.25">
      <c r="A45" s="43">
        <v>7</v>
      </c>
      <c r="B45" s="6" t="s">
        <v>47</v>
      </c>
      <c r="C45" s="99" t="s">
        <v>16</v>
      </c>
      <c r="D45" s="100"/>
      <c r="E45" s="101"/>
      <c r="F45" s="7" t="str">
        <f>CONCATENATE(D46," х ",D47,"")</f>
        <v>23509096 х 0,13</v>
      </c>
      <c r="G45" s="8">
        <f>D46*D47</f>
        <v>3056182</v>
      </c>
    </row>
    <row r="46" spans="1:9" x14ac:dyDescent="0.25">
      <c r="A46" s="45"/>
      <c r="B46" s="9"/>
      <c r="C46" s="10" t="s">
        <v>9</v>
      </c>
      <c r="D46" s="24">
        <f>SUM(G13:G44)</f>
        <v>23509096</v>
      </c>
      <c r="E46" s="11" t="s">
        <v>36</v>
      </c>
      <c r="F46" s="12"/>
      <c r="G46" s="13"/>
      <c r="I46" s="29"/>
    </row>
    <row r="47" spans="1:9" x14ac:dyDescent="0.25">
      <c r="A47" s="45"/>
      <c r="B47" s="14"/>
      <c r="C47" s="10" t="s">
        <v>24</v>
      </c>
      <c r="D47" s="31">
        <v>0.13</v>
      </c>
      <c r="E47" s="11" t="s">
        <v>23</v>
      </c>
      <c r="F47" s="16"/>
      <c r="G47" s="13"/>
    </row>
    <row r="48" spans="1:9" x14ac:dyDescent="0.25">
      <c r="A48" s="45"/>
      <c r="B48" s="14"/>
      <c r="C48" s="10"/>
      <c r="D48" s="17"/>
      <c r="E48" s="11"/>
      <c r="F48" s="18"/>
      <c r="G48" s="19"/>
    </row>
    <row r="49" spans="1:8" x14ac:dyDescent="0.25">
      <c r="A49" s="46"/>
      <c r="B49" s="25"/>
      <c r="C49" s="26"/>
      <c r="D49" s="26"/>
      <c r="E49" s="26"/>
      <c r="F49" s="27"/>
      <c r="G49" s="28"/>
    </row>
    <row r="50" spans="1:8" s="37" customFormat="1" x14ac:dyDescent="0.25">
      <c r="A50" s="32"/>
      <c r="B50" s="32" t="s">
        <v>26</v>
      </c>
      <c r="C50" s="33"/>
      <c r="D50" s="34"/>
      <c r="E50" s="35"/>
      <c r="F50" s="32"/>
      <c r="G50" s="36">
        <f>SUM(G13:G49)</f>
        <v>26565278</v>
      </c>
    </row>
    <row r="51" spans="1:8" s="37" customFormat="1" x14ac:dyDescent="0.25">
      <c r="A51" s="32"/>
      <c r="B51" s="32" t="s">
        <v>27</v>
      </c>
      <c r="C51" s="33"/>
      <c r="D51" s="34"/>
      <c r="E51" s="35"/>
      <c r="F51" s="32"/>
      <c r="G51" s="36">
        <f>G50</f>
        <v>26565278</v>
      </c>
    </row>
    <row r="52" spans="1:8" x14ac:dyDescent="0.25">
      <c r="H52" s="41"/>
    </row>
    <row r="53" spans="1:8" x14ac:dyDescent="0.25">
      <c r="B53" s="1" t="s">
        <v>31</v>
      </c>
      <c r="F53" s="41"/>
      <c r="H53" s="41"/>
    </row>
    <row r="54" spans="1:8" x14ac:dyDescent="0.25">
      <c r="A54" s="41"/>
      <c r="B54" s="41"/>
      <c r="C54" s="41"/>
      <c r="D54" s="41"/>
      <c r="E54" s="41"/>
      <c r="F54" s="41"/>
      <c r="G54" s="41"/>
    </row>
  </sheetData>
  <mergeCells count="19">
    <mergeCell ref="C11:E11"/>
    <mergeCell ref="A25:A30"/>
    <mergeCell ref="C25:E25"/>
    <mergeCell ref="C40:E40"/>
    <mergeCell ref="C45:E45"/>
    <mergeCell ref="B12:G12"/>
    <mergeCell ref="A35:A39"/>
    <mergeCell ref="C35:E35"/>
    <mergeCell ref="A13:A18"/>
    <mergeCell ref="C13:E13"/>
    <mergeCell ref="A31:A34"/>
    <mergeCell ref="C31:E31"/>
    <mergeCell ref="A19:A24"/>
    <mergeCell ref="C19:E19"/>
    <mergeCell ref="A2:G2"/>
    <mergeCell ref="A4:G4"/>
    <mergeCell ref="A5:G5"/>
    <mergeCell ref="A7:G7"/>
    <mergeCell ref="A8:G8"/>
  </mergeCells>
  <pageMargins left="0.7" right="0.7" top="0.75" bottom="0.75" header="0.3" footer="0.3"/>
  <pageSetup paperSize="9" scale="63" orientation="portrait" verticalDpi="0" r:id="rId1"/>
  <colBreaks count="1" manualBreakCount="1">
    <brk id="7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opLeftCell="A24" zoomScale="90" zoomScaleNormal="90" workbookViewId="0">
      <selection activeCell="B2" sqref="B2:K37"/>
    </sheetView>
  </sheetViews>
  <sheetFormatPr defaultRowHeight="15.75" x14ac:dyDescent="0.25"/>
  <cols>
    <col min="1" max="1" width="5.28515625" style="48" customWidth="1"/>
    <col min="2" max="2" width="7.5703125" style="48" customWidth="1"/>
    <col min="3" max="3" width="17" style="48" customWidth="1"/>
    <col min="4" max="4" width="16.85546875" style="48" customWidth="1"/>
    <col min="5" max="5" width="21" style="48" customWidth="1"/>
    <col min="6" max="8" width="22.7109375" style="48" customWidth="1"/>
    <col min="9" max="9" width="20.42578125" style="48" customWidth="1"/>
    <col min="10" max="10" width="19" style="48" customWidth="1"/>
    <col min="11" max="11" width="20.42578125" style="48" customWidth="1"/>
    <col min="12" max="12" width="14" style="48" customWidth="1"/>
    <col min="13" max="13" width="46.42578125" style="48" customWidth="1"/>
    <col min="14" max="14" width="10.85546875" style="48" customWidth="1"/>
    <col min="15" max="16384" width="9.140625" style="48"/>
  </cols>
  <sheetData>
    <row r="2" spans="2:11" ht="15.75" customHeight="1" x14ac:dyDescent="0.25">
      <c r="B2" s="117" t="s">
        <v>49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ht="15.75" customHeight="1" x14ac:dyDescent="0.25"/>
    <row r="4" spans="2:11" ht="15" customHeight="1" x14ac:dyDescent="0.25">
      <c r="B4" s="118" t="s">
        <v>42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2:11" ht="1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2:11" ht="32.25" customHeight="1" x14ac:dyDescent="0.25">
      <c r="B6" s="117" t="s">
        <v>52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2:11" x14ac:dyDescent="0.25">
      <c r="B7" s="115" t="s">
        <v>53</v>
      </c>
      <c r="C7" s="115"/>
      <c r="D7" s="115"/>
      <c r="E7" s="115"/>
      <c r="F7" s="115"/>
      <c r="G7" s="115"/>
      <c r="H7" s="115"/>
      <c r="I7" s="115"/>
      <c r="J7" s="115"/>
      <c r="K7" s="115"/>
    </row>
    <row r="8" spans="2:11" x14ac:dyDescent="0.25">
      <c r="B8" s="119" t="s">
        <v>10</v>
      </c>
      <c r="C8" s="119"/>
      <c r="D8" s="119"/>
      <c r="E8" s="119"/>
      <c r="F8" s="119"/>
      <c r="G8" s="119"/>
      <c r="H8" s="119"/>
      <c r="I8" s="119"/>
      <c r="J8" s="119"/>
      <c r="K8" s="119"/>
    </row>
    <row r="9" spans="2:11" x14ac:dyDescent="0.25">
      <c r="B9" s="115" t="s">
        <v>54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x14ac:dyDescent="0.25">
      <c r="F10" s="49"/>
    </row>
    <row r="11" spans="2:11" x14ac:dyDescent="0.25">
      <c r="B11" s="50" t="s">
        <v>55</v>
      </c>
    </row>
    <row r="12" spans="2:11" x14ac:dyDescent="0.25">
      <c r="B12" s="50"/>
      <c r="K12" s="51" t="s">
        <v>56</v>
      </c>
    </row>
    <row r="13" spans="2:11" ht="149.25" customHeight="1" x14ac:dyDescent="0.25">
      <c r="B13" s="52" t="s">
        <v>57</v>
      </c>
      <c r="C13" s="108" t="s">
        <v>58</v>
      </c>
      <c r="D13" s="116"/>
      <c r="E13" s="109"/>
      <c r="F13" s="52" t="s">
        <v>59</v>
      </c>
      <c r="G13" s="52" t="s">
        <v>60</v>
      </c>
      <c r="H13" s="52" t="s">
        <v>61</v>
      </c>
      <c r="I13" s="52" t="s">
        <v>62</v>
      </c>
      <c r="J13" s="52" t="s">
        <v>63</v>
      </c>
      <c r="K13" s="52" t="s">
        <v>64</v>
      </c>
    </row>
    <row r="14" spans="2:11" x14ac:dyDescent="0.25">
      <c r="B14" s="52">
        <v>1</v>
      </c>
      <c r="C14" s="108">
        <v>2</v>
      </c>
      <c r="D14" s="116"/>
      <c r="E14" s="109"/>
      <c r="F14" s="52">
        <v>3</v>
      </c>
      <c r="G14" s="52">
        <v>4</v>
      </c>
      <c r="H14" s="52">
        <v>5</v>
      </c>
      <c r="I14" s="52">
        <v>6</v>
      </c>
      <c r="J14" s="52">
        <v>7</v>
      </c>
      <c r="K14" s="52">
        <v>8</v>
      </c>
    </row>
    <row r="15" spans="2:11" x14ac:dyDescent="0.25">
      <c r="B15" s="52">
        <v>1</v>
      </c>
      <c r="C15" s="112" t="s">
        <v>65</v>
      </c>
      <c r="D15" s="113"/>
      <c r="E15" s="114"/>
      <c r="F15" s="52">
        <f>38/60*1800</f>
        <v>1140</v>
      </c>
      <c r="G15" s="52">
        <v>1</v>
      </c>
      <c r="H15" s="53">
        <v>1</v>
      </c>
      <c r="I15" s="54">
        <f t="shared" ref="I15:I23" si="0">F15/$F$24*G15*H15</f>
        <v>0.99</v>
      </c>
      <c r="J15" s="52"/>
      <c r="K15" s="52"/>
    </row>
    <row r="16" spans="2:11" x14ac:dyDescent="0.25">
      <c r="B16" s="52">
        <v>2</v>
      </c>
      <c r="C16" s="112" t="s">
        <v>66</v>
      </c>
      <c r="D16" s="113"/>
      <c r="E16" s="114"/>
      <c r="F16" s="52">
        <f t="shared" ref="F16:F19" si="1">38/60*1800</f>
        <v>1140</v>
      </c>
      <c r="G16" s="52">
        <v>1</v>
      </c>
      <c r="H16" s="53">
        <v>0.84</v>
      </c>
      <c r="I16" s="54">
        <f t="shared" si="0"/>
        <v>0.83</v>
      </c>
      <c r="J16" s="52"/>
      <c r="K16" s="52"/>
    </row>
    <row r="17" spans="2:15" x14ac:dyDescent="0.25">
      <c r="B17" s="52">
        <v>3</v>
      </c>
      <c r="C17" s="112" t="s">
        <v>67</v>
      </c>
      <c r="D17" s="113"/>
      <c r="E17" s="114"/>
      <c r="F17" s="52">
        <f t="shared" si="1"/>
        <v>1140</v>
      </c>
      <c r="G17" s="52">
        <v>1</v>
      </c>
      <c r="H17" s="53">
        <f>'[1]Доп. данные для расчета См.№2  '!I5/'Смета № 2'!K24</f>
        <v>0.92</v>
      </c>
      <c r="I17" s="54">
        <f t="shared" si="0"/>
        <v>0.91</v>
      </c>
      <c r="J17" s="52"/>
      <c r="K17" s="52"/>
    </row>
    <row r="18" spans="2:15" x14ac:dyDescent="0.25">
      <c r="B18" s="52">
        <v>4</v>
      </c>
      <c r="C18" s="112" t="s">
        <v>68</v>
      </c>
      <c r="D18" s="113"/>
      <c r="E18" s="114"/>
      <c r="F18" s="52">
        <f t="shared" si="1"/>
        <v>1140</v>
      </c>
      <c r="G18" s="52">
        <v>2</v>
      </c>
      <c r="H18" s="53">
        <v>0.71</v>
      </c>
      <c r="I18" s="54">
        <f t="shared" si="0"/>
        <v>1.4</v>
      </c>
      <c r="J18" s="52"/>
      <c r="K18" s="52"/>
    </row>
    <row r="19" spans="2:15" x14ac:dyDescent="0.25">
      <c r="B19" s="52">
        <v>5</v>
      </c>
      <c r="C19" s="112" t="s">
        <v>69</v>
      </c>
      <c r="D19" s="113"/>
      <c r="E19" s="114"/>
      <c r="F19" s="52">
        <f t="shared" si="1"/>
        <v>1140</v>
      </c>
      <c r="G19" s="52">
        <v>1</v>
      </c>
      <c r="H19" s="53">
        <f>'[1]Доп. данные для расчета См.№2  '!I4/K24</f>
        <v>0.68</v>
      </c>
      <c r="I19" s="54">
        <f t="shared" si="0"/>
        <v>0.67</v>
      </c>
      <c r="J19" s="52"/>
      <c r="K19" s="52"/>
    </row>
    <row r="20" spans="2:15" x14ac:dyDescent="0.25">
      <c r="B20" s="52">
        <v>6</v>
      </c>
      <c r="C20" s="112" t="s">
        <v>70</v>
      </c>
      <c r="D20" s="113"/>
      <c r="E20" s="114"/>
      <c r="F20" s="52">
        <f>F15*0.2</f>
        <v>228</v>
      </c>
      <c r="G20" s="52">
        <v>1</v>
      </c>
      <c r="H20" s="53">
        <v>1.44</v>
      </c>
      <c r="I20" s="54">
        <f t="shared" si="0"/>
        <v>0.28000000000000003</v>
      </c>
      <c r="J20" s="52"/>
      <c r="K20" s="52"/>
    </row>
    <row r="21" spans="2:15" x14ac:dyDescent="0.25">
      <c r="B21" s="52">
        <v>7</v>
      </c>
      <c r="C21" s="112" t="s">
        <v>71</v>
      </c>
      <c r="D21" s="113"/>
      <c r="E21" s="114"/>
      <c r="F21" s="55">
        <f>1.18*12</f>
        <v>14</v>
      </c>
      <c r="G21" s="52">
        <v>1</v>
      </c>
      <c r="H21" s="53">
        <v>0.74</v>
      </c>
      <c r="I21" s="54">
        <f t="shared" si="0"/>
        <v>0.01</v>
      </c>
      <c r="J21" s="52"/>
      <c r="K21" s="52"/>
    </row>
    <row r="22" spans="2:15" x14ac:dyDescent="0.25">
      <c r="B22" s="52">
        <v>8</v>
      </c>
      <c r="C22" s="112" t="s">
        <v>72</v>
      </c>
      <c r="D22" s="113"/>
      <c r="E22" s="114"/>
      <c r="F22" s="55">
        <f t="shared" ref="F22:F23" si="2">1.18*12</f>
        <v>14</v>
      </c>
      <c r="G22" s="52">
        <v>1</v>
      </c>
      <c r="H22" s="53">
        <v>0.56999999999999995</v>
      </c>
      <c r="I22" s="54">
        <f t="shared" si="0"/>
        <v>0.01</v>
      </c>
      <c r="J22" s="52"/>
      <c r="K22" s="52"/>
    </row>
    <row r="23" spans="2:15" ht="15.75" customHeight="1" x14ac:dyDescent="0.25">
      <c r="B23" s="52">
        <v>9</v>
      </c>
      <c r="C23" s="112" t="s">
        <v>73</v>
      </c>
      <c r="D23" s="113"/>
      <c r="E23" s="114"/>
      <c r="F23" s="55">
        <f t="shared" si="2"/>
        <v>14</v>
      </c>
      <c r="G23" s="52">
        <v>1</v>
      </c>
      <c r="H23" s="53">
        <f>'[1]Доп. данные для расчета См.№2  '!I17/'Смета № 2'!K24</f>
        <v>0.68</v>
      </c>
      <c r="I23" s="54">
        <f t="shared" si="0"/>
        <v>0.01</v>
      </c>
      <c r="J23" s="52"/>
      <c r="K23" s="52"/>
      <c r="M23" s="56"/>
      <c r="N23" s="57"/>
      <c r="O23" s="57"/>
    </row>
    <row r="24" spans="2:15" x14ac:dyDescent="0.25">
      <c r="B24" s="58"/>
      <c r="C24" s="105" t="s">
        <v>74</v>
      </c>
      <c r="D24" s="106"/>
      <c r="E24" s="107"/>
      <c r="F24" s="59">
        <f>F15+F21</f>
        <v>1154</v>
      </c>
      <c r="G24" s="60">
        <f>SUM(G15:G23)</f>
        <v>10</v>
      </c>
      <c r="H24" s="60"/>
      <c r="I24" s="61">
        <f>SUM(I15:I23)</f>
        <v>5.1100000000000003</v>
      </c>
      <c r="J24" s="62">
        <f>I24/G24</f>
        <v>0.51100000000000001</v>
      </c>
      <c r="K24" s="61">
        <f>107061.1/164.4</f>
        <v>651.22</v>
      </c>
    </row>
    <row r="27" spans="2:15" x14ac:dyDescent="0.25">
      <c r="K27" s="51" t="s">
        <v>75</v>
      </c>
    </row>
    <row r="28" spans="2:15" ht="160.5" x14ac:dyDescent="0.25">
      <c r="B28" s="52" t="s">
        <v>57</v>
      </c>
      <c r="C28" s="108" t="s">
        <v>76</v>
      </c>
      <c r="D28" s="109"/>
      <c r="E28" s="52" t="s">
        <v>77</v>
      </c>
      <c r="F28" s="52" t="s">
        <v>78</v>
      </c>
      <c r="G28" s="52" t="s">
        <v>79</v>
      </c>
      <c r="H28" s="52" t="s">
        <v>80</v>
      </c>
      <c r="I28" s="52" t="s">
        <v>81</v>
      </c>
      <c r="J28" s="52" t="s">
        <v>82</v>
      </c>
      <c r="K28" s="52" t="s">
        <v>83</v>
      </c>
    </row>
    <row r="29" spans="2:15" x14ac:dyDescent="0.25">
      <c r="B29" s="52">
        <v>1</v>
      </c>
      <c r="C29" s="108">
        <v>2</v>
      </c>
      <c r="D29" s="109"/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</row>
    <row r="30" spans="2:15" ht="15.75" customHeight="1" x14ac:dyDescent="0.25">
      <c r="B30" s="52">
        <v>1</v>
      </c>
      <c r="C30" s="110" t="s">
        <v>84</v>
      </c>
      <c r="D30" s="111"/>
      <c r="E30" s="63">
        <f>2214600/1.2</f>
        <v>1845500</v>
      </c>
      <c r="F30" s="64">
        <f>8*1060</f>
        <v>8480</v>
      </c>
      <c r="G30" s="63">
        <f>E30/F30</f>
        <v>217.63</v>
      </c>
      <c r="H30" s="65">
        <f>8*G30*0.24</f>
        <v>417.85</v>
      </c>
      <c r="I30" s="66">
        <f>G30+H30</f>
        <v>635.48</v>
      </c>
      <c r="J30" s="55">
        <f>$F$21</f>
        <v>14</v>
      </c>
      <c r="K30" s="64">
        <f>I30*J30</f>
        <v>8897</v>
      </c>
      <c r="L30" s="67"/>
    </row>
    <row r="31" spans="2:15" ht="15.75" customHeight="1" x14ac:dyDescent="0.25">
      <c r="B31" s="52">
        <v>2</v>
      </c>
      <c r="C31" s="110" t="s">
        <v>85</v>
      </c>
      <c r="D31" s="111"/>
      <c r="E31" s="63">
        <f>35000/1.2</f>
        <v>29166.67</v>
      </c>
      <c r="F31" s="64">
        <f>8*1370</f>
        <v>10960</v>
      </c>
      <c r="G31" s="63">
        <f>E31/F31</f>
        <v>2.66</v>
      </c>
      <c r="H31" s="65">
        <f>8*G31*0.24</f>
        <v>5.1100000000000003</v>
      </c>
      <c r="I31" s="66">
        <f>G31+H31</f>
        <v>7.77</v>
      </c>
      <c r="J31" s="55">
        <f>$F$21</f>
        <v>14</v>
      </c>
      <c r="K31" s="64">
        <f>I31*J31</f>
        <v>109</v>
      </c>
    </row>
    <row r="34" spans="3:14" x14ac:dyDescent="0.25">
      <c r="K34" s="51" t="s">
        <v>86</v>
      </c>
    </row>
    <row r="35" spans="3:14" ht="144.75" x14ac:dyDescent="0.25">
      <c r="C35" s="52" t="s">
        <v>87</v>
      </c>
      <c r="D35" s="52" t="s">
        <v>88</v>
      </c>
      <c r="E35" s="52" t="s">
        <v>89</v>
      </c>
      <c r="F35" s="52" t="s">
        <v>90</v>
      </c>
      <c r="G35" s="52" t="s">
        <v>91</v>
      </c>
      <c r="H35" s="52" t="s">
        <v>92</v>
      </c>
      <c r="I35" s="52" t="s">
        <v>93</v>
      </c>
      <c r="J35" s="52" t="s">
        <v>94</v>
      </c>
      <c r="K35" s="52" t="s">
        <v>95</v>
      </c>
    </row>
    <row r="36" spans="3:14" x14ac:dyDescent="0.25">
      <c r="C36" s="52">
        <v>1</v>
      </c>
      <c r="D36" s="52">
        <v>2</v>
      </c>
      <c r="E36" s="52">
        <v>3</v>
      </c>
      <c r="F36" s="52">
        <v>4</v>
      </c>
      <c r="G36" s="52">
        <v>5</v>
      </c>
      <c r="H36" s="52">
        <v>6</v>
      </c>
      <c r="I36" s="52">
        <v>7</v>
      </c>
      <c r="J36" s="52">
        <v>8</v>
      </c>
      <c r="K36" s="52">
        <v>9</v>
      </c>
    </row>
    <row r="37" spans="3:14" x14ac:dyDescent="0.25">
      <c r="C37" s="68">
        <f>F24*G24*J24*K24</f>
        <v>3840205</v>
      </c>
      <c r="D37" s="68">
        <f>C37*1.07</f>
        <v>4109019</v>
      </c>
      <c r="E37" s="68">
        <f>(F15*(G15+G16+G17+G18+G19)+(F20*G20)+(F21*(G21+G22+G23)))*0.98*K24</f>
        <v>4537571</v>
      </c>
      <c r="F37" s="68">
        <f>SUM(K30:K31)</f>
        <v>9006</v>
      </c>
      <c r="G37" s="68">
        <f>('[1]Доп. данные для расчета См.№2  '!G4+'[1]Доп. данные для расчета См.№2  '!G5)*F15</f>
        <v>5316732</v>
      </c>
      <c r="H37" s="68">
        <f>'[1]Доп. данные для расчета См.№2  '!I11</f>
        <v>284400</v>
      </c>
      <c r="I37" s="68">
        <f>'[1]Доп. данные для расчета См.№2  '!G17*'Смета № 2'!F23</f>
        <v>6942</v>
      </c>
      <c r="J37" s="68">
        <f>SUM(C37:I37)*0.11</f>
        <v>1991426</v>
      </c>
      <c r="K37" s="68">
        <f>SUM(C37:J37)</f>
        <v>20095301</v>
      </c>
      <c r="L37" s="69"/>
      <c r="N37" s="69"/>
    </row>
    <row r="38" spans="3:14" x14ac:dyDescent="0.25">
      <c r="L38" s="69"/>
      <c r="N38" s="69"/>
    </row>
  </sheetData>
  <mergeCells count="23">
    <mergeCell ref="B8:K8"/>
    <mergeCell ref="B2:K2"/>
    <mergeCell ref="B4:K4"/>
    <mergeCell ref="B5:K5"/>
    <mergeCell ref="B6:K6"/>
    <mergeCell ref="B7:K7"/>
    <mergeCell ref="C23:E23"/>
    <mergeCell ref="B9:K9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4:E24"/>
    <mergeCell ref="C28:D28"/>
    <mergeCell ref="C29:D29"/>
    <mergeCell ref="C30:D30"/>
    <mergeCell ref="C31:D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>
      <selection activeCell="B2" sqref="B2:I17"/>
    </sheetView>
  </sheetViews>
  <sheetFormatPr defaultRowHeight="15.75" x14ac:dyDescent="0.25"/>
  <cols>
    <col min="1" max="2" width="9.140625" style="48"/>
    <col min="3" max="3" width="20" style="48" customWidth="1"/>
    <col min="4" max="4" width="45" style="48" customWidth="1"/>
    <col min="5" max="5" width="21.42578125" style="48" customWidth="1"/>
    <col min="6" max="6" width="26.28515625" style="48" customWidth="1"/>
    <col min="7" max="7" width="20.85546875" style="48" customWidth="1"/>
    <col min="8" max="8" width="20.5703125" style="48" customWidth="1"/>
    <col min="9" max="9" width="26.7109375" style="48" customWidth="1"/>
    <col min="10" max="16384" width="9.140625" style="48"/>
  </cols>
  <sheetData>
    <row r="2" spans="2:9" ht="17.25" x14ac:dyDescent="0.3">
      <c r="B2" s="70" t="s">
        <v>96</v>
      </c>
      <c r="C2" s="71"/>
      <c r="D2" s="72"/>
      <c r="E2" s="72"/>
      <c r="F2" s="72"/>
      <c r="G2" s="72"/>
      <c r="H2" s="72"/>
    </row>
    <row r="3" spans="2:9" ht="94.5" x14ac:dyDescent="0.25">
      <c r="B3" s="73" t="s">
        <v>97</v>
      </c>
      <c r="C3" s="73" t="s">
        <v>98</v>
      </c>
      <c r="D3" s="73" t="s">
        <v>99</v>
      </c>
      <c r="E3" s="74" t="s">
        <v>100</v>
      </c>
      <c r="F3" s="74" t="s">
        <v>101</v>
      </c>
      <c r="G3" s="74" t="s">
        <v>102</v>
      </c>
      <c r="H3" s="73" t="s">
        <v>103</v>
      </c>
      <c r="I3" s="73" t="s">
        <v>104</v>
      </c>
    </row>
    <row r="4" spans="2:9" ht="31.5" x14ac:dyDescent="0.25">
      <c r="B4" s="75">
        <v>1</v>
      </c>
      <c r="C4" s="75" t="s">
        <v>105</v>
      </c>
      <c r="D4" s="76" t="s">
        <v>106</v>
      </c>
      <c r="E4" s="77">
        <f>1043.14</f>
        <v>1043.1400000000001</v>
      </c>
      <c r="F4" s="78">
        <v>1.1599999999999999</v>
      </c>
      <c r="G4" s="77">
        <f>E4*F4</f>
        <v>1210.04</v>
      </c>
      <c r="H4" s="77" t="s">
        <v>107</v>
      </c>
      <c r="I4" s="79">
        <v>444.91</v>
      </c>
    </row>
    <row r="5" spans="2:9" ht="78.75" x14ac:dyDescent="0.25">
      <c r="B5" s="75">
        <v>2</v>
      </c>
      <c r="C5" s="75" t="s">
        <v>108</v>
      </c>
      <c r="D5" s="76" t="s">
        <v>109</v>
      </c>
      <c r="E5" s="77">
        <f>2830.95</f>
        <v>2830.95</v>
      </c>
      <c r="F5" s="78">
        <v>1.22</v>
      </c>
      <c r="G5" s="77">
        <f>E5*F5</f>
        <v>3453.76</v>
      </c>
      <c r="H5" s="77" t="s">
        <v>110</v>
      </c>
      <c r="I5" s="79">
        <v>597.64</v>
      </c>
    </row>
    <row r="6" spans="2:9" x14ac:dyDescent="0.25">
      <c r="B6" s="72"/>
      <c r="C6" s="72"/>
      <c r="D6" s="72"/>
      <c r="E6" s="72"/>
      <c r="F6" s="72"/>
      <c r="G6" s="72"/>
      <c r="H6" s="72"/>
    </row>
    <row r="7" spans="2:9" x14ac:dyDescent="0.25">
      <c r="B7" s="72"/>
      <c r="C7" s="72"/>
      <c r="D7" s="72"/>
      <c r="E7" s="72"/>
      <c r="F7" s="72"/>
      <c r="G7" s="72"/>
      <c r="H7" s="72"/>
    </row>
    <row r="8" spans="2:9" ht="17.25" x14ac:dyDescent="0.3">
      <c r="B8" s="71"/>
      <c r="C8" s="70" t="s">
        <v>111</v>
      </c>
      <c r="D8" s="72"/>
      <c r="E8" s="72"/>
      <c r="F8" s="72"/>
      <c r="G8" s="72"/>
      <c r="H8" s="72"/>
    </row>
    <row r="9" spans="2:9" ht="81.75" x14ac:dyDescent="0.25">
      <c r="C9" s="73" t="s">
        <v>112</v>
      </c>
      <c r="D9" s="73" t="s">
        <v>113</v>
      </c>
      <c r="E9" s="73" t="s">
        <v>114</v>
      </c>
      <c r="F9" s="73" t="s">
        <v>115</v>
      </c>
      <c r="G9" s="73" t="s">
        <v>116</v>
      </c>
      <c r="H9" s="73" t="s">
        <v>117</v>
      </c>
      <c r="I9" s="73" t="s">
        <v>118</v>
      </c>
    </row>
    <row r="10" spans="2:9" x14ac:dyDescent="0.25">
      <c r="C10" s="73">
        <v>1</v>
      </c>
      <c r="D10" s="73">
        <v>2</v>
      </c>
      <c r="E10" s="73">
        <v>3</v>
      </c>
      <c r="F10" s="73">
        <v>4</v>
      </c>
      <c r="G10" s="73">
        <v>5</v>
      </c>
      <c r="H10" s="73">
        <v>6</v>
      </c>
      <c r="I10" s="73">
        <v>7</v>
      </c>
    </row>
    <row r="11" spans="2:9" ht="31.5" x14ac:dyDescent="0.25">
      <c r="C11" s="80">
        <v>1</v>
      </c>
      <c r="D11" s="81" t="s">
        <v>119</v>
      </c>
      <c r="E11" s="80" t="s">
        <v>120</v>
      </c>
      <c r="F11" s="80">
        <v>0.01</v>
      </c>
      <c r="G11" s="82">
        <f>15800</f>
        <v>15800</v>
      </c>
      <c r="H11" s="82">
        <v>1800</v>
      </c>
      <c r="I11" s="83">
        <f>F11*G11*H11</f>
        <v>284400</v>
      </c>
    </row>
    <row r="12" spans="2:9" x14ac:dyDescent="0.25">
      <c r="C12" s="1" t="s">
        <v>121</v>
      </c>
    </row>
    <row r="13" spans="2:9" x14ac:dyDescent="0.25">
      <c r="C13" s="84"/>
    </row>
    <row r="15" spans="2:9" ht="17.25" x14ac:dyDescent="0.3">
      <c r="B15" s="70" t="s">
        <v>122</v>
      </c>
    </row>
    <row r="16" spans="2:9" ht="94.5" x14ac:dyDescent="0.25">
      <c r="B16" s="73" t="s">
        <v>97</v>
      </c>
      <c r="C16" s="73" t="s">
        <v>98</v>
      </c>
      <c r="D16" s="73" t="s">
        <v>99</v>
      </c>
      <c r="E16" s="74" t="s">
        <v>100</v>
      </c>
      <c r="F16" s="74" t="s">
        <v>123</v>
      </c>
      <c r="G16" s="74" t="s">
        <v>102</v>
      </c>
      <c r="H16" s="73" t="s">
        <v>103</v>
      </c>
      <c r="I16" s="73" t="s">
        <v>104</v>
      </c>
    </row>
    <row r="17" spans="2:9" ht="31.5" x14ac:dyDescent="0.25">
      <c r="B17" s="75">
        <v>1</v>
      </c>
      <c r="C17" s="85" t="s">
        <v>124</v>
      </c>
      <c r="D17" s="81" t="s">
        <v>125</v>
      </c>
      <c r="E17" s="80">
        <f>423.83</f>
        <v>423.83</v>
      </c>
      <c r="F17" s="78">
        <v>1.17</v>
      </c>
      <c r="G17" s="77">
        <f>E17*F17</f>
        <v>495.88</v>
      </c>
      <c r="H17" s="77" t="s">
        <v>107</v>
      </c>
      <c r="I17" s="79">
        <v>444.91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zoomScale="90" zoomScaleNormal="90" workbookViewId="0">
      <selection activeCell="B1" sqref="B1:E16"/>
    </sheetView>
  </sheetViews>
  <sheetFormatPr defaultRowHeight="15.75" x14ac:dyDescent="0.25"/>
  <cols>
    <col min="1" max="1" width="5.28515625" style="48" customWidth="1"/>
    <col min="2" max="2" width="7.5703125" style="48" customWidth="1"/>
    <col min="3" max="3" width="50.7109375" style="48" customWidth="1"/>
    <col min="4" max="5" width="20.7109375" style="48" customWidth="1"/>
    <col min="6" max="6" width="14" style="48" customWidth="1"/>
    <col min="7" max="7" width="46.42578125" style="48" customWidth="1"/>
    <col min="8" max="8" width="10.85546875" style="48" customWidth="1"/>
    <col min="9" max="16384" width="9.140625" style="48"/>
  </cols>
  <sheetData>
    <row r="1" spans="2:5" ht="51.75" customHeight="1" x14ac:dyDescent="0.25">
      <c r="D1" s="120" t="s">
        <v>142</v>
      </c>
      <c r="E1" s="120"/>
    </row>
    <row r="2" spans="2:5" ht="15.75" customHeight="1" x14ac:dyDescent="0.25">
      <c r="B2" s="117"/>
      <c r="C2" s="117"/>
      <c r="D2" s="117"/>
      <c r="E2" s="117"/>
    </row>
    <row r="3" spans="2:5" ht="15.75" customHeight="1" x14ac:dyDescent="0.25"/>
    <row r="4" spans="2:5" ht="15" customHeight="1" x14ac:dyDescent="0.25">
      <c r="B4" s="121" t="s">
        <v>143</v>
      </c>
      <c r="C4" s="121"/>
      <c r="D4" s="121"/>
      <c r="E4" s="121"/>
    </row>
    <row r="5" spans="2:5" ht="15" customHeight="1" x14ac:dyDescent="0.25">
      <c r="B5" s="121" t="s">
        <v>144</v>
      </c>
      <c r="C5" s="121"/>
      <c r="D5" s="121"/>
      <c r="E5" s="121"/>
    </row>
    <row r="6" spans="2:5" ht="32.25" customHeight="1" x14ac:dyDescent="0.25">
      <c r="B6" s="122" t="s">
        <v>145</v>
      </c>
      <c r="C6" s="122"/>
      <c r="D6" s="122"/>
      <c r="E6" s="122"/>
    </row>
    <row r="7" spans="2:5" x14ac:dyDescent="0.25">
      <c r="B7" s="121" t="s">
        <v>146</v>
      </c>
      <c r="C7" s="121"/>
      <c r="D7" s="121"/>
      <c r="E7" s="121"/>
    </row>
    <row r="8" spans="2:5" x14ac:dyDescent="0.25">
      <c r="B8" s="50"/>
    </row>
    <row r="9" spans="2:5" x14ac:dyDescent="0.25">
      <c r="E9" s="51" t="s">
        <v>56</v>
      </c>
    </row>
    <row r="10" spans="2:5" ht="31.5" x14ac:dyDescent="0.25">
      <c r="B10" s="52" t="s">
        <v>112</v>
      </c>
      <c r="C10" s="52" t="s">
        <v>126</v>
      </c>
      <c r="D10" s="52" t="s">
        <v>114</v>
      </c>
      <c r="E10" s="52" t="s">
        <v>127</v>
      </c>
    </row>
    <row r="11" spans="2:5" ht="47.25" x14ac:dyDescent="0.25">
      <c r="B11" s="52">
        <v>1</v>
      </c>
      <c r="C11" s="86" t="s">
        <v>128</v>
      </c>
      <c r="D11" s="52" t="s">
        <v>129</v>
      </c>
      <c r="E11" s="52">
        <v>12</v>
      </c>
    </row>
    <row r="12" spans="2:5" ht="63" x14ac:dyDescent="0.25">
      <c r="B12" s="52">
        <v>2</v>
      </c>
      <c r="C12" s="86" t="s">
        <v>130</v>
      </c>
      <c r="D12" s="52" t="s">
        <v>131</v>
      </c>
      <c r="E12" s="87" t="s">
        <v>132</v>
      </c>
    </row>
    <row r="13" spans="2:5" x14ac:dyDescent="0.25">
      <c r="B13" s="52">
        <v>3</v>
      </c>
      <c r="C13" s="86" t="s">
        <v>133</v>
      </c>
      <c r="D13" s="87" t="s">
        <v>134</v>
      </c>
      <c r="E13" s="87">
        <v>90</v>
      </c>
    </row>
    <row r="14" spans="2:5" ht="31.5" x14ac:dyDescent="0.25">
      <c r="B14" s="52">
        <v>4</v>
      </c>
      <c r="C14" s="86" t="s">
        <v>135</v>
      </c>
      <c r="D14" s="87" t="s">
        <v>136</v>
      </c>
      <c r="E14" s="87">
        <v>1440</v>
      </c>
    </row>
    <row r="15" spans="2:5" ht="47.25" x14ac:dyDescent="0.25">
      <c r="B15" s="52">
        <v>5</v>
      </c>
      <c r="C15" s="86" t="s">
        <v>137</v>
      </c>
      <c r="D15" s="87" t="s">
        <v>138</v>
      </c>
      <c r="E15" s="87" t="s">
        <v>139</v>
      </c>
    </row>
    <row r="16" spans="2:5" x14ac:dyDescent="0.25">
      <c r="B16" s="52">
        <v>6</v>
      </c>
      <c r="C16" s="88" t="s">
        <v>140</v>
      </c>
      <c r="D16" s="87" t="s">
        <v>141</v>
      </c>
      <c r="E16" s="87" t="s">
        <v>139</v>
      </c>
    </row>
  </sheetData>
  <mergeCells count="6">
    <mergeCell ref="B7:E7"/>
    <mergeCell ref="D1:E1"/>
    <mergeCell ref="B2:E2"/>
    <mergeCell ref="B4:E4"/>
    <mergeCell ref="B5:E5"/>
    <mergeCell ref="B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8" zoomScaleNormal="100" workbookViewId="0">
      <selection activeCell="L7" sqref="L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Смета № 1</vt:lpstr>
      <vt:lpstr>Смета № 2</vt:lpstr>
      <vt:lpstr>Доп. данные для расчета См.№2  </vt:lpstr>
      <vt:lpstr>Исходные данные</vt:lpstr>
      <vt:lpstr>Пояснительная записка</vt:lpstr>
      <vt:lpstr>'Смета №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2024-09-01T14:25:13Z</dcterms:modified>
</cp:coreProperties>
</file>